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4\9.Draft AMT\Q4-2024 (AMT)\Q4-2024 (AMT) 2025.03.01 (FINAL)ออกเล่ม\"/>
    </mc:Choice>
  </mc:AlternateContent>
  <xr:revisionPtr revIDLastSave="0" documentId="13_ncr:1_{6AFD3E41-8422-49FC-9EEA-A3E18905C381}" xr6:coauthVersionLast="47" xr6:coauthVersionMax="47" xr10:uidLastSave="{00000000-0000-0000-0000-000000000000}"/>
  <bookViews>
    <workbookView xWindow="-120" yWindow="-120" windowWidth="29040" windowHeight="15720" tabRatio="640" activeTab="3" xr2:uid="{00000000-000D-0000-FFFF-FFFF00000000}"/>
  </bookViews>
  <sheets>
    <sheet name="BS_Q4-67" sheetId="50" r:id="rId1"/>
    <sheet name="Changed-Conso" sheetId="49" r:id="rId2"/>
    <sheet name="Changed-Com" sheetId="48" r:id="rId3"/>
    <sheet name="PL_Q4-67" sheetId="58" r:id="rId4"/>
    <sheet name="CashFlow" sheetId="47" r:id="rId5"/>
    <sheet name="Equity" sheetId="57" state="hidden" r:id="rId6"/>
    <sheet name="Conso_Q150" sheetId="56" state="hidden" r:id="rId7"/>
  </sheets>
  <externalReferences>
    <externalReference r:id="rId8"/>
  </externalReferences>
  <definedNames>
    <definedName name="a">'[1]01043002'!$A$1:$P$1224</definedName>
    <definedName name="_xlnm.Database">#REF!</definedName>
    <definedName name="OLE_LINK3" localSheetId="4">CashFlow!$A$150</definedName>
    <definedName name="_xlnm.Print_Area" localSheetId="0">'BS_Q4-67'!$A$1:$L$139</definedName>
    <definedName name="_xlnm.Print_Area" localSheetId="4">CashFlow!$A$1:$M$102</definedName>
    <definedName name="_xlnm.Print_Area" localSheetId="2">'Changed-Com'!$A$1:$X$41</definedName>
    <definedName name="_xlnm.Print_Area" localSheetId="1">'Changed-Conso'!$A$1:$Z$42</definedName>
    <definedName name="_xlnm.Print_Area" localSheetId="6">Conso_Q150!$A$1:$M$92</definedName>
    <definedName name="_xlnm.Print_Area" localSheetId="5">Equity!$A$1:$G$42</definedName>
    <definedName name="_xlnm.Print_Area" localSheetId="3">'PL_Q4-67'!$A$1:$L$111</definedName>
    <definedName name="_xlnm.Print_Titles" localSheetId="4">CashFlow!$1:$9</definedName>
    <definedName name="_xlnm.Print_Titles" localSheetId="6">Conso_Q150!$1:$4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1" i="47" l="1"/>
  <c r="M74" i="47"/>
  <c r="M67" i="47"/>
  <c r="I74" i="47"/>
  <c r="I67" i="47"/>
  <c r="L31" i="58"/>
  <c r="L21" i="58"/>
  <c r="L8" i="58"/>
  <c r="H31" i="58"/>
  <c r="H21" i="58"/>
  <c r="R21" i="49"/>
  <c r="T14" i="49"/>
  <c r="V14" i="49" s="1"/>
  <c r="L81" i="50"/>
  <c r="L76" i="50"/>
  <c r="H81" i="50"/>
  <c r="H76" i="50"/>
  <c r="L43" i="50"/>
  <c r="L27" i="50"/>
  <c r="L8" i="50"/>
  <c r="H43" i="50"/>
  <c r="H27" i="50"/>
  <c r="H33" i="58" l="1"/>
  <c r="H37" i="58" s="1"/>
  <c r="H39" i="58" s="1"/>
  <c r="H42" i="58" s="1"/>
  <c r="H51" i="58" s="1"/>
  <c r="L33" i="58"/>
  <c r="L37" i="58" s="1"/>
  <c r="L39" i="58" s="1"/>
  <c r="L42" i="58" s="1"/>
  <c r="L51" i="58" s="1"/>
  <c r="H44" i="50"/>
  <c r="L44" i="50"/>
  <c r="H82" i="50"/>
  <c r="L82" i="50"/>
  <c r="H47" i="58" l="1"/>
  <c r="H44" i="58"/>
  <c r="L44" i="58"/>
  <c r="L47" i="58"/>
  <c r="M9" i="47"/>
  <c r="T18" i="49"/>
  <c r="N18" i="49"/>
  <c r="T17" i="49"/>
  <c r="V17" i="49" s="1"/>
  <c r="Z17" i="49" s="1"/>
  <c r="Z14" i="49"/>
  <c r="X16" i="48"/>
  <c r="X13" i="48"/>
  <c r="V18" i="49" l="1"/>
  <c r="Z18" i="49" s="1"/>
  <c r="J31" i="58" l="1"/>
  <c r="F31" i="58"/>
  <c r="V20" i="48"/>
  <c r="V18" i="48" s="1"/>
  <c r="T17" i="48"/>
  <c r="X17" i="48" s="1"/>
  <c r="T19" i="49"/>
  <c r="P21" i="49"/>
  <c r="N21" i="49"/>
  <c r="X20" i="48" l="1"/>
  <c r="T21" i="49"/>
  <c r="V21" i="49" s="1"/>
  <c r="Z21" i="49" s="1"/>
  <c r="M11" i="47" l="1"/>
  <c r="M28" i="47" s="1"/>
  <c r="M45" i="47" s="1"/>
  <c r="M49" i="47" s="1"/>
  <c r="M76" i="47" s="1"/>
  <c r="M78" i="47" s="1"/>
  <c r="I11" i="47"/>
  <c r="I28" i="47" s="1"/>
  <c r="I45" i="47" s="1"/>
  <c r="I49" i="47" s="1"/>
  <c r="I76" i="47" s="1"/>
  <c r="I78" i="47" s="1"/>
  <c r="M104" i="47"/>
  <c r="I104" i="47"/>
  <c r="R34" i="49" l="1"/>
  <c r="N34" i="49" s="1"/>
  <c r="V32" i="48"/>
  <c r="V30" i="48" s="1"/>
  <c r="T34" i="49" l="1"/>
  <c r="X32" i="48"/>
  <c r="V34" i="49"/>
  <c r="Z34" i="49" s="1"/>
  <c r="J27" i="50" l="1"/>
  <c r="F27" i="50"/>
  <c r="T29" i="48" l="1"/>
  <c r="X29" i="48" s="1"/>
  <c r="X27" i="48"/>
  <c r="N31" i="49"/>
  <c r="T31" i="49"/>
  <c r="T29" i="49"/>
  <c r="V29" i="49" s="1"/>
  <c r="Z29" i="49" s="1"/>
  <c r="V31" i="49" l="1"/>
  <c r="Z31" i="49" s="1"/>
  <c r="R37" i="49" l="1"/>
  <c r="K9" i="47"/>
  <c r="V22" i="48"/>
  <c r="P24" i="49"/>
  <c r="J8" i="58"/>
  <c r="J66" i="58" s="1"/>
  <c r="H58" i="50"/>
  <c r="H103" i="50" s="1"/>
  <c r="L58" i="50"/>
  <c r="L103" i="50" s="1"/>
  <c r="F21" i="58"/>
  <c r="F33" i="58" s="1"/>
  <c r="F37" i="58" s="1"/>
  <c r="F22" i="48"/>
  <c r="P32" i="49"/>
  <c r="T32" i="49" s="1"/>
  <c r="X32" i="49"/>
  <c r="X37" i="49" s="1"/>
  <c r="F119" i="50" s="1"/>
  <c r="A55" i="50"/>
  <c r="A100" i="50" s="1"/>
  <c r="J81" i="50"/>
  <c r="F81" i="50"/>
  <c r="H34" i="48"/>
  <c r="J113" i="50" s="1"/>
  <c r="H22" i="48"/>
  <c r="H37" i="49"/>
  <c r="F113" i="50" s="1"/>
  <c r="H24" i="49"/>
  <c r="L66" i="58"/>
  <c r="H66" i="58"/>
  <c r="F66" i="58"/>
  <c r="H118" i="50"/>
  <c r="H120" i="50" s="1"/>
  <c r="T26" i="49"/>
  <c r="V26" i="49" s="1"/>
  <c r="Z26" i="49" s="1"/>
  <c r="X24" i="49"/>
  <c r="L24" i="49"/>
  <c r="J24" i="49"/>
  <c r="F24" i="49"/>
  <c r="D24" i="49"/>
  <c r="L79" i="58"/>
  <c r="J79" i="58"/>
  <c r="H79" i="58"/>
  <c r="F79" i="58"/>
  <c r="X24" i="48"/>
  <c r="R22" i="48"/>
  <c r="P22" i="48"/>
  <c r="N22" i="48"/>
  <c r="L22" i="48"/>
  <c r="J22" i="48"/>
  <c r="D22" i="48"/>
  <c r="G74" i="47"/>
  <c r="K74" i="47"/>
  <c r="J7" i="58"/>
  <c r="J65" i="58" s="1"/>
  <c r="F65" i="58"/>
  <c r="J21" i="58"/>
  <c r="J33" i="58" s="1"/>
  <c r="J37" i="58" s="1"/>
  <c r="K67" i="47"/>
  <c r="X28" i="48"/>
  <c r="R34" i="48"/>
  <c r="J115" i="50" s="1"/>
  <c r="J76" i="50"/>
  <c r="J34" i="48"/>
  <c r="F34" i="48"/>
  <c r="D34" i="48"/>
  <c r="J37" i="49"/>
  <c r="F37" i="49"/>
  <c r="L37" i="49"/>
  <c r="D37" i="49"/>
  <c r="L118" i="50"/>
  <c r="L120" i="50" s="1"/>
  <c r="G67" i="47"/>
  <c r="F85" i="58"/>
  <c r="H85" i="58"/>
  <c r="A60" i="58"/>
  <c r="A62" i="58"/>
  <c r="J85" i="58"/>
  <c r="L85" i="58"/>
  <c r="F76" i="50"/>
  <c r="T30" i="49"/>
  <c r="V30" i="49" s="1"/>
  <c r="Z30" i="49" s="1"/>
  <c r="J8" i="50"/>
  <c r="J58" i="50" s="1"/>
  <c r="J103" i="50" s="1"/>
  <c r="F58" i="50"/>
  <c r="F103" i="50" s="1"/>
  <c r="A4" i="48"/>
  <c r="J43" i="50"/>
  <c r="J6" i="56"/>
  <c r="J7" i="56"/>
  <c r="J8" i="56"/>
  <c r="M8" i="56" s="1"/>
  <c r="J9" i="56"/>
  <c r="M9" i="56" s="1"/>
  <c r="H10" i="56"/>
  <c r="H19" i="56" s="1"/>
  <c r="H29" i="56" s="1"/>
  <c r="J11" i="56"/>
  <c r="M11" i="56" s="1"/>
  <c r="J12" i="56"/>
  <c r="M12" i="56" s="1"/>
  <c r="J13" i="56"/>
  <c r="M13" i="56" s="1"/>
  <c r="J14" i="56"/>
  <c r="M14" i="56" s="1"/>
  <c r="J15" i="56"/>
  <c r="M15" i="56" s="1"/>
  <c r="O15" i="56" s="1"/>
  <c r="E16" i="56"/>
  <c r="E19" i="56" s="1"/>
  <c r="E29" i="56" s="1"/>
  <c r="J16" i="56"/>
  <c r="M16" i="56" s="1"/>
  <c r="J17" i="56"/>
  <c r="M17" i="56" s="1"/>
  <c r="D18" i="56"/>
  <c r="D19" i="56" s="1"/>
  <c r="E18" i="56"/>
  <c r="F18" i="56"/>
  <c r="F19" i="56" s="1"/>
  <c r="G18" i="56"/>
  <c r="I19" i="56"/>
  <c r="J21" i="56"/>
  <c r="J22" i="56"/>
  <c r="J23" i="56"/>
  <c r="J24" i="56"/>
  <c r="M24" i="56" s="1"/>
  <c r="J25" i="56"/>
  <c r="M25" i="56" s="1"/>
  <c r="D26" i="56"/>
  <c r="J26" i="56" s="1"/>
  <c r="M26" i="56" s="1"/>
  <c r="J27" i="56"/>
  <c r="M27" i="56"/>
  <c r="E28" i="56"/>
  <c r="F28" i="56"/>
  <c r="G28" i="56"/>
  <c r="H28" i="56"/>
  <c r="I28" i="56"/>
  <c r="I29" i="56" s="1"/>
  <c r="J31" i="56"/>
  <c r="M31" i="56" s="1"/>
  <c r="J32" i="56"/>
  <c r="M32" i="56" s="1"/>
  <c r="J33" i="56"/>
  <c r="M33" i="56"/>
  <c r="J34" i="56"/>
  <c r="M34" i="56" s="1"/>
  <c r="J35" i="56"/>
  <c r="M35" i="56" s="1"/>
  <c r="E36" i="56"/>
  <c r="F36" i="56"/>
  <c r="J37" i="56"/>
  <c r="M37" i="56" s="1"/>
  <c r="D38" i="56"/>
  <c r="D40" i="56" s="1"/>
  <c r="D45" i="56" s="1"/>
  <c r="E38" i="56"/>
  <c r="E39" i="56"/>
  <c r="F39" i="56"/>
  <c r="G39" i="56"/>
  <c r="J39" i="56" s="1"/>
  <c r="H40" i="56"/>
  <c r="I40" i="56"/>
  <c r="J42" i="56"/>
  <c r="M42" i="56" s="1"/>
  <c r="J43" i="56"/>
  <c r="M43" i="56" s="1"/>
  <c r="D44" i="56"/>
  <c r="E44" i="56"/>
  <c r="F44" i="56"/>
  <c r="G44" i="56"/>
  <c r="H44" i="56"/>
  <c r="I44" i="56"/>
  <c r="J47" i="56"/>
  <c r="M47" i="56" s="1"/>
  <c r="L48" i="56"/>
  <c r="J48" i="56"/>
  <c r="D49" i="56"/>
  <c r="J49" i="56" s="1"/>
  <c r="M49" i="56" s="1"/>
  <c r="J50" i="56"/>
  <c r="M50" i="56" s="1"/>
  <c r="P50" i="56" s="1"/>
  <c r="D51" i="56"/>
  <c r="J51" i="56" s="1"/>
  <c r="L51" i="56"/>
  <c r="J54" i="56"/>
  <c r="M54" i="56" s="1"/>
  <c r="J55" i="56"/>
  <c r="M55" i="56" s="1"/>
  <c r="E58" i="56"/>
  <c r="F58" i="56"/>
  <c r="K62" i="56"/>
  <c r="L62" i="56"/>
  <c r="L63" i="56"/>
  <c r="L64" i="56"/>
  <c r="L65" i="56"/>
  <c r="J71" i="56"/>
  <c r="L71" i="56"/>
  <c r="J72" i="56"/>
  <c r="M72" i="56" s="1"/>
  <c r="J73" i="56"/>
  <c r="M73" i="56" s="1"/>
  <c r="O73" i="56" s="1"/>
  <c r="J74" i="56"/>
  <c r="M74" i="56" s="1"/>
  <c r="J75" i="56"/>
  <c r="M75" i="56" s="1"/>
  <c r="D76" i="56"/>
  <c r="E76" i="56"/>
  <c r="F76" i="56"/>
  <c r="G76" i="56"/>
  <c r="H76" i="56"/>
  <c r="I76" i="56"/>
  <c r="M77" i="56"/>
  <c r="E78" i="56"/>
  <c r="J78" i="56" s="1"/>
  <c r="F79" i="56"/>
  <c r="G79" i="56"/>
  <c r="G82" i="56" s="1"/>
  <c r="L79" i="56"/>
  <c r="J80" i="56"/>
  <c r="M80" i="56" s="1"/>
  <c r="J81" i="56"/>
  <c r="M81" i="56" s="1"/>
  <c r="D82" i="56"/>
  <c r="D84" i="56" s="1"/>
  <c r="D87" i="56" s="1"/>
  <c r="D89" i="56" s="1"/>
  <c r="D56" i="56" s="1"/>
  <c r="H82" i="56"/>
  <c r="I82" i="56"/>
  <c r="E83" i="56"/>
  <c r="M83" i="56"/>
  <c r="J85" i="56"/>
  <c r="M85" i="56" s="1"/>
  <c r="E86" i="56"/>
  <c r="J86" i="56" s="1"/>
  <c r="M86" i="56" s="1"/>
  <c r="M88" i="56"/>
  <c r="M90" i="56"/>
  <c r="M91" i="56"/>
  <c r="M92" i="56"/>
  <c r="E8" i="57"/>
  <c r="E11" i="57" s="1"/>
  <c r="F8" i="57"/>
  <c r="F11" i="57" s="1"/>
  <c r="B11" i="57"/>
  <c r="C11" i="57"/>
  <c r="D11" i="57"/>
  <c r="D12" i="57"/>
  <c r="D14" i="57" s="1"/>
  <c r="G13" i="57"/>
  <c r="B14" i="57"/>
  <c r="C14" i="57"/>
  <c r="E14" i="57"/>
  <c r="F14" i="57"/>
  <c r="G15" i="57"/>
  <c r="B16" i="57"/>
  <c r="E16" i="57"/>
  <c r="F16" i="57"/>
  <c r="C17" i="57"/>
  <c r="G17" i="57"/>
  <c r="D17" i="57"/>
  <c r="B19" i="57"/>
  <c r="C19" i="57"/>
  <c r="D19" i="57"/>
  <c r="E19" i="57"/>
  <c r="F19" i="57"/>
  <c r="B22" i="57"/>
  <c r="B23" i="57" s="1"/>
  <c r="C22" i="57"/>
  <c r="C23" i="57" s="1"/>
  <c r="D22" i="57"/>
  <c r="D23" i="57" s="1"/>
  <c r="G24" i="57"/>
  <c r="C31" i="57"/>
  <c r="D32" i="57" s="1"/>
  <c r="G35" i="57"/>
  <c r="D37" i="57"/>
  <c r="D41" i="57"/>
  <c r="A3" i="48"/>
  <c r="L34" i="48"/>
  <c r="N34" i="48"/>
  <c r="P34" i="48"/>
  <c r="F43" i="50"/>
  <c r="G19" i="56"/>
  <c r="G29" i="56" s="1"/>
  <c r="L60" i="56"/>
  <c r="M21" i="56"/>
  <c r="M7" i="56"/>
  <c r="P121" i="50"/>
  <c r="T121" i="50"/>
  <c r="J44" i="56"/>
  <c r="J10" i="56"/>
  <c r="J76" i="56"/>
  <c r="E79" i="56"/>
  <c r="E82" i="56" s="1"/>
  <c r="M10" i="56"/>
  <c r="M6" i="56"/>
  <c r="F82" i="56"/>
  <c r="F84" i="56" s="1"/>
  <c r="F87" i="56" s="1"/>
  <c r="F89" i="56" s="1"/>
  <c r="F56" i="56" s="1"/>
  <c r="M22" i="56"/>
  <c r="L89" i="56"/>
  <c r="L56" i="56" s="1"/>
  <c r="M71" i="56"/>
  <c r="O71" i="56" s="1"/>
  <c r="J38" i="56"/>
  <c r="M38" i="56"/>
  <c r="L121" i="50" l="1"/>
  <c r="L140" i="50" s="1"/>
  <c r="F82" i="50"/>
  <c r="M44" i="56"/>
  <c r="M60" i="56"/>
  <c r="H45" i="56"/>
  <c r="E40" i="56"/>
  <c r="E45" i="56" s="1"/>
  <c r="H84" i="56"/>
  <c r="H87" i="56" s="1"/>
  <c r="H89" i="56" s="1"/>
  <c r="H56" i="56" s="1"/>
  <c r="H59" i="56" s="1"/>
  <c r="H65" i="56" s="1"/>
  <c r="H66" i="56" s="1"/>
  <c r="H67" i="56" s="1"/>
  <c r="F40" i="56"/>
  <c r="F45" i="56" s="1"/>
  <c r="J28" i="56"/>
  <c r="J82" i="50"/>
  <c r="P37" i="49"/>
  <c r="AB26" i="49"/>
  <c r="F44" i="50"/>
  <c r="J44" i="50"/>
  <c r="T37" i="49"/>
  <c r="F117" i="50" s="1"/>
  <c r="G12" i="57"/>
  <c r="G84" i="56"/>
  <c r="G87" i="56" s="1"/>
  <c r="G89" i="56" s="1"/>
  <c r="G56" i="56" s="1"/>
  <c r="F59" i="56"/>
  <c r="F65" i="56" s="1"/>
  <c r="E84" i="56"/>
  <c r="E87" i="56" s="1"/>
  <c r="E89" i="56" s="1"/>
  <c r="E56" i="56" s="1"/>
  <c r="E59" i="56" s="1"/>
  <c r="E65" i="56" s="1"/>
  <c r="E66" i="56" s="1"/>
  <c r="E67" i="56" s="1"/>
  <c r="D28" i="56"/>
  <c r="D29" i="56" s="1"/>
  <c r="G14" i="57"/>
  <c r="H121" i="50"/>
  <c r="H140" i="50" s="1"/>
  <c r="G16" i="57"/>
  <c r="C45" i="57" s="1"/>
  <c r="J36" i="56"/>
  <c r="M36" i="56" s="1"/>
  <c r="F29" i="56"/>
  <c r="J18" i="56"/>
  <c r="M18" i="56" s="1"/>
  <c r="O18" i="56" s="1"/>
  <c r="M23" i="56"/>
  <c r="D59" i="56"/>
  <c r="D65" i="56" s="1"/>
  <c r="D66" i="56" s="1"/>
  <c r="D67" i="56" s="1"/>
  <c r="G19" i="57"/>
  <c r="E22" i="57"/>
  <c r="E23" i="57" s="1"/>
  <c r="G40" i="56"/>
  <c r="G45" i="56" s="1"/>
  <c r="I84" i="56"/>
  <c r="I87" i="56" s="1"/>
  <c r="I89" i="56" s="1"/>
  <c r="I56" i="56" s="1"/>
  <c r="I59" i="56" s="1"/>
  <c r="I65" i="56" s="1"/>
  <c r="I66" i="56" s="1"/>
  <c r="I67" i="56" s="1"/>
  <c r="I45" i="56"/>
  <c r="F115" i="50"/>
  <c r="AD37" i="49" s="1"/>
  <c r="M78" i="56"/>
  <c r="G58" i="56"/>
  <c r="V34" i="48"/>
  <c r="O74" i="56"/>
  <c r="M76" i="56"/>
  <c r="O76" i="56" s="1"/>
  <c r="M39" i="56"/>
  <c r="O39" i="56" s="1"/>
  <c r="O26" i="56"/>
  <c r="M28" i="56"/>
  <c r="M51" i="56"/>
  <c r="J19" i="56"/>
  <c r="J29" i="56" s="1"/>
  <c r="F22" i="57"/>
  <c r="F23" i="57" s="1"/>
  <c r="J79" i="56"/>
  <c r="M79" i="56" s="1"/>
  <c r="O79" i="56" s="1"/>
  <c r="G23" i="57" l="1"/>
  <c r="G27" i="57" s="1"/>
  <c r="G30" i="57" s="1"/>
  <c r="F66" i="56"/>
  <c r="F67" i="56" s="1"/>
  <c r="J40" i="56"/>
  <c r="J45" i="56" s="1"/>
  <c r="J56" i="56"/>
  <c r="M56" i="56" s="1"/>
  <c r="M19" i="56"/>
  <c r="M29" i="56" s="1"/>
  <c r="L57" i="56"/>
  <c r="L67" i="56" s="1"/>
  <c r="J58" i="56"/>
  <c r="G59" i="56"/>
  <c r="G65" i="56" s="1"/>
  <c r="G66" i="56" s="1"/>
  <c r="G67" i="56" s="1"/>
  <c r="J82" i="56"/>
  <c r="J84" i="56" s="1"/>
  <c r="M40" i="56"/>
  <c r="M45" i="56" s="1"/>
  <c r="M82" i="56"/>
  <c r="O78" i="56"/>
  <c r="J87" i="56" l="1"/>
  <c r="J89" i="56" s="1"/>
  <c r="M84" i="56"/>
  <c r="M87" i="56" s="1"/>
  <c r="M89" i="56" s="1"/>
  <c r="M58" i="56"/>
  <c r="M59" i="56" s="1"/>
  <c r="M65" i="56" s="1"/>
  <c r="M66" i="56" s="1"/>
  <c r="M67" i="56" s="1"/>
  <c r="J59" i="56"/>
  <c r="J65" i="56" s="1"/>
  <c r="J66" i="56" s="1"/>
  <c r="J67" i="56" s="1"/>
  <c r="T24" i="49" l="1"/>
  <c r="R24" i="49"/>
  <c r="F39" i="58" l="1"/>
  <c r="F68" i="58" l="1"/>
  <c r="F81" i="58" s="1"/>
  <c r="F84" i="58" s="1"/>
  <c r="F86" i="58" s="1"/>
  <c r="F42" i="58"/>
  <c r="G11" i="47"/>
  <c r="G28" i="47" s="1"/>
  <c r="G45" i="47" s="1"/>
  <c r="G49" i="47" s="1"/>
  <c r="G76" i="47" s="1"/>
  <c r="G78" i="47" s="1"/>
  <c r="G105" i="47" l="1"/>
  <c r="G79" i="47"/>
  <c r="F47" i="58"/>
  <c r="F51" i="58"/>
  <c r="F44" i="58"/>
  <c r="N32" i="49"/>
  <c r="V32" i="49" l="1"/>
  <c r="N37" i="49"/>
  <c r="F116" i="50" l="1"/>
  <c r="F118" i="50" s="1"/>
  <c r="F120" i="50" s="1"/>
  <c r="F121" i="50" s="1"/>
  <c r="V37" i="49"/>
  <c r="Z32" i="49"/>
  <c r="Z37" i="49" s="1"/>
  <c r="AB37" i="49" l="1"/>
  <c r="N121" i="50"/>
  <c r="F140" i="50"/>
  <c r="AB38" i="49"/>
  <c r="AC37" i="49"/>
  <c r="H68" i="58" l="1"/>
  <c r="H81" i="58" s="1"/>
  <c r="H84" i="58" s="1"/>
  <c r="H86" i="58" s="1"/>
  <c r="I105" i="47"/>
  <c r="N19" i="49" l="1"/>
  <c r="N24" i="49" l="1"/>
  <c r="AC24" i="49" s="1"/>
  <c r="V19" i="49"/>
  <c r="AB19" i="49"/>
  <c r="V24" i="49" l="1"/>
  <c r="Z19" i="49"/>
  <c r="Z24" i="49" s="1"/>
  <c r="AB24" i="49" s="1"/>
  <c r="J39" i="58"/>
  <c r="J68" i="58" s="1"/>
  <c r="J81" i="58" s="1"/>
  <c r="J84" i="58" s="1"/>
  <c r="J86" i="58" s="1"/>
  <c r="K11" i="47" l="1"/>
  <c r="K28" i="47" s="1"/>
  <c r="K45" i="47" s="1"/>
  <c r="K49" i="47" s="1"/>
  <c r="K76" i="47" s="1"/>
  <c r="K78" i="47" s="1"/>
  <c r="J42" i="58"/>
  <c r="K105" i="47" l="1"/>
  <c r="K79" i="47"/>
  <c r="J47" i="58"/>
  <c r="J51" i="58"/>
  <c r="T30" i="48"/>
  <c r="J44" i="58"/>
  <c r="X30" i="48" l="1"/>
  <c r="X34" i="48" s="1"/>
  <c r="T34" i="48"/>
  <c r="J116" i="50" s="1"/>
  <c r="J118" i="50" s="1"/>
  <c r="J120" i="50" s="1"/>
  <c r="J121" i="50" s="1"/>
  <c r="Y30" i="48"/>
  <c r="R121" i="50" l="1"/>
  <c r="J140" i="50"/>
  <c r="Y34" i="48"/>
  <c r="L68" i="58"/>
  <c r="L81" i="58" s="1"/>
  <c r="L84" i="58" s="1"/>
  <c r="L86" i="58" s="1"/>
  <c r="M105" i="47" l="1"/>
  <c r="T18" i="48" l="1"/>
  <c r="X18" i="48" l="1"/>
  <c r="X22" i="48" s="1"/>
  <c r="Y22" i="48" s="1"/>
  <c r="Y18" i="48"/>
  <c r="T22" i="4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H58" authorId="0" shapeId="0" xr:uid="{00000000-0006-0000-0500-000001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...</author>
  </authors>
  <commentList>
    <comment ref="M8" authorId="0" shapeId="0" xr:uid="{00000000-0006-0000-0600-000001000000}">
      <text>
        <r>
          <rPr>
            <sz val="8"/>
            <color indexed="81"/>
            <rFont val="Tahoma"/>
            <family val="2"/>
          </rPr>
          <t xml:space="preserve">ลูกหนี้เกี่ยวข้องกันราย
ซีเอโพสท์(ไทยแลนด์)
จำนวน 1,605,000 บาท
</t>
        </r>
      </text>
    </comment>
    <comment ref="K20" authorId="0" shapeId="0" xr:uid="{00000000-0006-0000-0600-000002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1" authorId="0" shapeId="0" xr:uid="{00000000-0006-0000-0600-000003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22" authorId="0" shapeId="0" xr:uid="{00000000-0006-0000-0600-000004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3" authorId="0" shapeId="0" xr:uid="{00000000-0006-0000-0600-000005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7" authorId="0" shapeId="0" xr:uid="{00000000-0006-0000-0600-000006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48" authorId="0" shapeId="0" xr:uid="{00000000-0006-0000-0600-000007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0" authorId="0" shapeId="0" xr:uid="{00000000-0006-0000-0600-000008000000}">
      <text>
        <r>
          <rPr>
            <sz val="8"/>
            <color indexed="81"/>
            <rFont val="Tahoma"/>
            <family val="2"/>
          </rPr>
          <t xml:space="preserve">BBT=4,000,955
BBS=1,250,375
BCL=42,940,000
BD=4,503,000
BAL=912,000
</t>
        </r>
        <r>
          <rPr>
            <b/>
            <sz val="8"/>
            <color indexed="81"/>
            <rFont val="Tahoma"/>
            <family val="2"/>
          </rPr>
          <t>Total 57,605,000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<sst xmlns="http://schemas.openxmlformats.org/spreadsheetml/2006/main" count="537" uniqueCount="391">
  <si>
    <t>หนี้สินไม่หมุนเวียนอื่น</t>
  </si>
  <si>
    <t>รายได้ค้างรับ</t>
  </si>
  <si>
    <t>ส่วนของผู้ถือหุ้นส่วนน้อย</t>
  </si>
  <si>
    <t>งบกำไรขาดทุน</t>
  </si>
  <si>
    <t xml:space="preserve"> </t>
  </si>
  <si>
    <t>ส่วนแบ่งกำไรจากเงินลงทุนตามวิธีส่วนได้เสีย - บริษัทร่วม</t>
  </si>
  <si>
    <t xml:space="preserve">          รวมค่าใช้จ่าย</t>
  </si>
  <si>
    <t>ต้นทุนขายและบริการ</t>
  </si>
  <si>
    <t>สินทรัพย์หมุนเวียน</t>
  </si>
  <si>
    <t>ผลต่าง</t>
  </si>
  <si>
    <t>ภาษีมูลค่าเพิ่ม</t>
  </si>
  <si>
    <t>ค่าใช้จ่ายค้างจ่าย</t>
  </si>
  <si>
    <t>ภาษีเงินได้นิติบุคคลค้างจ่าย</t>
  </si>
  <si>
    <t>ดอกเบี้ยรับ</t>
  </si>
  <si>
    <t xml:space="preserve">         รวมรายได้</t>
  </si>
  <si>
    <t>กำไร(ขาดทุน)ก่อนดอกเบี้ยจ่ายและภาษีเงินได้</t>
  </si>
  <si>
    <t>ภาษีเงินได้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</si>
  <si>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</si>
  <si>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</si>
  <si>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</si>
  <si>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รวมหนี้สินหมุนเวียน</t>
  </si>
  <si>
    <t xml:space="preserve">          รวมหนี้สินไม่หมุนเวียน</t>
  </si>
  <si>
    <t xml:space="preserve">                    รวมหนี้สิน</t>
  </si>
  <si>
    <t>ส่วนเกินมูลค่าหุ้นสามัญที่ออกจำหน่าย</t>
  </si>
  <si>
    <t xml:space="preserve">                    รวมส่วนของผู้ถือหุ้น</t>
  </si>
  <si>
    <t>ค่าใช้จ่ายในการขายและบริหาร</t>
  </si>
  <si>
    <t>เจ้าหนี้กรมสรรพากร</t>
  </si>
  <si>
    <t>รวม</t>
  </si>
  <si>
    <t>ค่าใช้จ่ายล่วงหน้า</t>
  </si>
  <si>
    <t>กำไร(ขาดทุน)สุทธิหลังภาษีเงินได้</t>
  </si>
  <si>
    <t>กำไร(ขาดทุน)สุทธิ</t>
  </si>
  <si>
    <t>ภาษีเงินได้ถูกหัก ณ ที่จ่าย</t>
  </si>
  <si>
    <t>สินค้าคงเหลือ สุทธิ</t>
  </si>
  <si>
    <t>งบการเงินรวม</t>
  </si>
  <si>
    <t>งบการเงินเฉพาะบริษัท</t>
  </si>
  <si>
    <t>จัดสรรแล้ว - สำรองตามกฎหมาย</t>
  </si>
  <si>
    <t xml:space="preserve">          รวมส่วนของผู้ถือหุ้นบริษัทใหญ่</t>
  </si>
  <si>
    <t>ขาดทุน (กำไร) สุทธิส่วนที่เป็นของผู้ถือหุ้นส่วนน้อย</t>
  </si>
  <si>
    <t>รวมหนี้สินและส่วนของผู้ถือหุ้น</t>
  </si>
  <si>
    <t>รายได้</t>
  </si>
  <si>
    <t>ค่าใช้จ่าย</t>
  </si>
  <si>
    <t>ดอกเบี้ยจ่าย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</si>
  <si>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</si>
  <si>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</si>
  <si>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</si>
  <si>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</si>
  <si>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</si>
  <si>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</si>
  <si>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</si>
  <si>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</si>
  <si>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</si>
  <si>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ส่วนของผู้ถือหุ้น</t>
  </si>
  <si>
    <t>บริษัท บรุ๊คเคอร์ กรุ๊ป จำกัด (มหาชน) และบริษัทย่อย</t>
  </si>
  <si>
    <t>เงินลงทุนชั่วคราว</t>
  </si>
  <si>
    <t>เงินลงทุนในบริษัทย่อยและบริษัทร่วม</t>
  </si>
  <si>
    <t>เงินลงทุนทั่วไป</t>
  </si>
  <si>
    <t>ส่วนต่ำมูลค่าหุ้นสามัญที่ออกจำหน่าย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</si>
  <si>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</si>
  <si>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</si>
  <si>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รายได้จากการขายและบริการ</t>
  </si>
  <si>
    <t>ส่วนแบ่งผลขาดทุนจากเงินลงทุนตามวิธีส่วนได้เสีย</t>
  </si>
  <si>
    <t>ค่าตอบแทนกรรมการ</t>
  </si>
  <si>
    <t>BG</t>
  </si>
  <si>
    <t>BBT</t>
  </si>
  <si>
    <t>BBS</t>
  </si>
  <si>
    <t>BCL</t>
  </si>
  <si>
    <t>BD</t>
  </si>
  <si>
    <t>BAL</t>
  </si>
  <si>
    <t>ทุนที่ออกและชำระเต็มมูลค่าแล้ว - หุ้นสามัญ    761,331,010  หุ้น</t>
  </si>
  <si>
    <t>@ 31 มีนาคม 2550</t>
  </si>
  <si>
    <t>กระดาษทำการงบการเงินรวม</t>
  </si>
  <si>
    <t>รายการปรับปรุง</t>
  </si>
  <si>
    <t>ลำดับที่-รายการ</t>
  </si>
  <si>
    <t>จำนวนเงิน</t>
  </si>
  <si>
    <t>ลูกหนี้การค้า สุทธิ กิจการที่เกี่ยวข้องกัน</t>
  </si>
  <si>
    <t>ลูกหนี้การค้า สุทธิ กิจการอื่น</t>
  </si>
  <si>
    <t>รายได้ที่ยังไม่ได้เรียกเก็บ -กิจการที่เกี่ยวข้องกัน</t>
  </si>
  <si>
    <t>รายได้ที่ยังไม่ได้เรียกเก็บ -กิจการอื่น</t>
  </si>
  <si>
    <t>เงินเบิกเกินบัญชีและเงินกู้ยืมระยะสั้นจากสถาบันการเงิน</t>
  </si>
  <si>
    <t>&lt;-----ต้อง = 0 ------&gt;</t>
  </si>
  <si>
    <t xml:space="preserve">อื่น ๆ  </t>
  </si>
  <si>
    <t xml:space="preserve">อุปกรณ์ สุทธิ     </t>
  </si>
  <si>
    <t>เจ้าหนี้การค้า สุทธิ กิจการที่เกี่ยวข้องกัน</t>
  </si>
  <si>
    <t>เจ้าหนี้การค้า สุทธิ กิจการอื่น</t>
  </si>
  <si>
    <t>1)  ลูกหนี้ และเจ้าหนี้</t>
  </si>
  <si>
    <t>2)  รายได้ที่ยังไม่เก็บ</t>
  </si>
  <si>
    <t>3)  ล้างรายได้ระหว่างกัน</t>
  </si>
  <si>
    <t>4)เงินลงทุนในย่อย</t>
  </si>
  <si>
    <t>รายได้รับล่วงหน้า</t>
  </si>
  <si>
    <t>กระดาษทำการเงินลงทุนในบริษัทย่อย/ร่วม</t>
  </si>
  <si>
    <t>ราคาต่อหุ้น</t>
  </si>
  <si>
    <t>สัดส่วนการถือหุ้น ณ 31 ธค 2549</t>
  </si>
  <si>
    <t>จำนวนเงินตามสัดส่วนการถือหุ้น ณ 31 ธค 2549</t>
  </si>
  <si>
    <t>มูลค่าสุทธิเงินลงทุน ณ 31 ธค 2549</t>
  </si>
  <si>
    <t>ผลการดำเนินงานของบริษัทย่อย Q150</t>
  </si>
  <si>
    <t xml:space="preserve">    - ส่วนแบ่งกำไร  Q150</t>
  </si>
  <si>
    <t xml:space="preserve">    - ส่วนแบ่ง(ขาดทุน) Q150</t>
  </si>
  <si>
    <t>ราคาทุนของเงินลงทุน ณ วันซื้อ (สถาณะ 31/12/49)</t>
  </si>
  <si>
    <t>ทุนจดทะเบียน (บาท)</t>
  </si>
  <si>
    <t xml:space="preserve">       CR ผลสะสมจากการปรับปรุงนโยบายบัญชี</t>
  </si>
  <si>
    <t>DR ผลขาดทุนที่เกินกว่าเงินลงทุน</t>
  </si>
  <si>
    <t xml:space="preserve"> 1. รายการปรับปรุงเปลี่ยนแปลง Equity ------&gt;Cost</t>
  </si>
  <si>
    <t xml:space="preserve"> 2. ตั้งค่าเผื่อการด้อยค่าเงินลงทุน</t>
  </si>
  <si>
    <t>DR เงินลงทุนในบริษัทร่วม</t>
  </si>
  <si>
    <t xml:space="preserve">      DR ผลสะสมจากการปรับปรุงนโยบายบัญชี</t>
  </si>
  <si>
    <t xml:space="preserve">             CR ค่าเผื่อการด้อยค่าเงินลงทุน</t>
  </si>
  <si>
    <t xml:space="preserve">     DR เงินลงทุนในบริษัทย่อย</t>
  </si>
  <si>
    <t xml:space="preserve">            CR ผลสะสมจากการปรับปรุงนโยบายบัญชี</t>
  </si>
  <si>
    <t>ผลสะสมจากการเปลี่ยนแปลง Equity เป็น Cost</t>
  </si>
  <si>
    <t>5)AJE ด้อยค่าเงินลงทุน</t>
  </si>
  <si>
    <t>5)AJE ประมาณการชาดทุน</t>
  </si>
  <si>
    <t>7)ผู้ถือหุ้นส่วนน้อย-ทุน</t>
  </si>
  <si>
    <t>ค่าเผื่อการด้อยค่าเงินลงทุน</t>
  </si>
  <si>
    <r>
      <t xml:space="preserve">เงินกู้ยืมจากบุคคลที่เกี่ยวข้องกัน </t>
    </r>
    <r>
      <rPr>
        <sz val="12"/>
        <color indexed="10"/>
        <rFont val="Angsana New"/>
        <family val="1"/>
      </rPr>
      <t>(4,274,821.25 + 348,965.00)</t>
    </r>
  </si>
  <si>
    <t>6)AJE ขาดทุนสะสมยกมา</t>
  </si>
  <si>
    <t>ยังไม่ได้จัดสรร - ยกมา</t>
  </si>
  <si>
    <t>ยังไม่ได้จัดสรร - ปีนี้</t>
  </si>
  <si>
    <t>6)AJE ขาดทุนของส่วนน้อย</t>
  </si>
  <si>
    <t>ส่วนของผู้ถือหุ้นส่วนน้อย Q150</t>
  </si>
  <si>
    <t>ส่วนน้อยQ1'50</t>
  </si>
  <si>
    <t xml:space="preserve"> 2. ประมาณการขาดทุนจากเงินลงทุน</t>
  </si>
  <si>
    <t xml:space="preserve">      DR ผลขาดทุนเกินกว่าเงินลงทุน</t>
  </si>
  <si>
    <t xml:space="preserve">             CR ประมาณการขาดทุนจากเงินลงทุน</t>
  </si>
  <si>
    <t>4) Adj MI Q1'50</t>
  </si>
  <si>
    <t>รวมAJE กำไรขาดทุน</t>
  </si>
  <si>
    <t>มูลค่าสุทธิเงินลงทุน ณ 31 มีค 2550</t>
  </si>
  <si>
    <t>ส่วนของผู้ถือหุ้นส่วนน้อยรวม ณ 31 มีค 50</t>
  </si>
  <si>
    <t>หัก เงินทุนที่ยังไม่ได้ชำระ</t>
  </si>
  <si>
    <t>กำไร(ขาดทุน) สะสม 31 ธค 49</t>
  </si>
  <si>
    <t>ยอดภาษีที่ลดลงจากตั้งค่าใช้จ่ายค้างจ่าย----------------------------------------------------&gt;</t>
  </si>
  <si>
    <t>Reclass ไปลด MI</t>
  </si>
  <si>
    <t>THE BROOKER GROUP PUBLIC COMPANY LIMITED AND ITS SUBSIDIARIES</t>
  </si>
  <si>
    <t>B A H T</t>
  </si>
  <si>
    <t>NOTE</t>
  </si>
  <si>
    <t>CURRENT  ASSETS</t>
  </si>
  <si>
    <t>Cash  and cash equivalents</t>
  </si>
  <si>
    <t xml:space="preserve"> A S S E T S </t>
  </si>
  <si>
    <t>Other  current   assets</t>
  </si>
  <si>
    <t>Others</t>
  </si>
  <si>
    <t>NON-CURRENT ASSETS</t>
  </si>
  <si>
    <t>Other non-current assets</t>
  </si>
  <si>
    <t>Withholding tax withheld</t>
  </si>
  <si>
    <t>TOTAL NON-CURRENT ASSETS</t>
  </si>
  <si>
    <t>TOTAL CURRENT ASSETS</t>
  </si>
  <si>
    <t>TOTAL ASSETS</t>
  </si>
  <si>
    <t>Sign ..........................................................……......  Director</t>
  </si>
  <si>
    <t>LIABILITIES AND SHAREHOLDERS' EQUITY</t>
  </si>
  <si>
    <t>CURRENT LIABILITIES</t>
  </si>
  <si>
    <t>Other current liabilities</t>
  </si>
  <si>
    <t>Accrued corporate income tax</t>
  </si>
  <si>
    <t>TOTAL CURRENT LIABILITIES</t>
  </si>
  <si>
    <t>SHAREHOLDERS' EQUITY</t>
  </si>
  <si>
    <t xml:space="preserve">    Registered</t>
  </si>
  <si>
    <t>Retained earnings</t>
  </si>
  <si>
    <t>Appropriated - Legal reserve</t>
  </si>
  <si>
    <t>Unappropriated</t>
  </si>
  <si>
    <t>TOTAL  LIABILITIES  AND SHAREHOLDERS’ EQUITY</t>
  </si>
  <si>
    <t>STATEMENTS  OF  INCOME</t>
  </si>
  <si>
    <t>REVENUES</t>
  </si>
  <si>
    <t>Other income</t>
  </si>
  <si>
    <t>Interest income</t>
  </si>
  <si>
    <t xml:space="preserve">         Total revenues</t>
  </si>
  <si>
    <t>EXPENSES</t>
  </si>
  <si>
    <t xml:space="preserve">          Total expenses</t>
  </si>
  <si>
    <t>NET PROFIT (LOSS)</t>
  </si>
  <si>
    <t>Number of weighted average shares (shares)</t>
  </si>
  <si>
    <t>BAHT</t>
  </si>
  <si>
    <t>paid - up</t>
  </si>
  <si>
    <t>share capital</t>
  </si>
  <si>
    <t>Share capital</t>
  </si>
  <si>
    <t>Difference from</t>
  </si>
  <si>
    <t>translation of</t>
  </si>
  <si>
    <t>financial statements</t>
  </si>
  <si>
    <t>Difference from translation of financial statements</t>
  </si>
  <si>
    <t xml:space="preserve">Appropriated </t>
  </si>
  <si>
    <t>legal reserve</t>
  </si>
  <si>
    <t>Total</t>
  </si>
  <si>
    <t>of investment</t>
  </si>
  <si>
    <t>valuation</t>
  </si>
  <si>
    <t>STATEMENTS OF CASH FLOWS</t>
  </si>
  <si>
    <t>CASH FLOWS FROM OPERATING ACTIVITIES :</t>
  </si>
  <si>
    <t xml:space="preserve">             provided by (used in) Operating Activities</t>
  </si>
  <si>
    <t>Adjustments to reconcile net profit to net cash -</t>
  </si>
  <si>
    <t>Operating assets (increase), decrease</t>
  </si>
  <si>
    <t>CASH  FLOWS  FROM  INVESTING  ACTIVITIES :</t>
  </si>
  <si>
    <t>INCREASE (DECREASE) IN CASH AND CASH EQUIVALENTS - NET</t>
  </si>
  <si>
    <t>Other current assets</t>
  </si>
  <si>
    <t>Operating liabilities increase (decrease)</t>
  </si>
  <si>
    <t>Non-related companies</t>
  </si>
  <si>
    <t>Related  companies</t>
  </si>
  <si>
    <t xml:space="preserve">Investments in subsidiary companies </t>
  </si>
  <si>
    <t xml:space="preserve">    Issued and paid up</t>
  </si>
  <si>
    <t>(loss) from change</t>
  </si>
  <si>
    <t xml:space="preserve">Unrealized gain </t>
  </si>
  <si>
    <t>CASHFLOWS  FROM  FINANCING  ACTIVITIES</t>
  </si>
  <si>
    <t>Cash received</t>
  </si>
  <si>
    <t>in advance for</t>
  </si>
  <si>
    <t>ordinary share</t>
  </si>
  <si>
    <t>Net cash provided by (used in) financing activities</t>
  </si>
  <si>
    <t xml:space="preserve">     Net cash provided by (used in) operating activities</t>
  </si>
  <si>
    <t>provided by (used in) operating activities</t>
  </si>
  <si>
    <t>Loans</t>
  </si>
  <si>
    <t>Issued and</t>
  </si>
  <si>
    <t xml:space="preserve">   Payment of Corporate income tax</t>
  </si>
  <si>
    <t>Consolidated Financial Statement</t>
  </si>
  <si>
    <t>Separate  Financial Statement</t>
  </si>
  <si>
    <t>CONSOLIDATED  FINANCIAL  STATEMENT</t>
  </si>
  <si>
    <t>SEPARATE  FINANCIAL  STATEMENT</t>
  </si>
  <si>
    <t>Equity holders of the parent  (Baht)</t>
  </si>
  <si>
    <t>Deposit with restriction</t>
  </si>
  <si>
    <t>Suspense output tax</t>
  </si>
  <si>
    <t>Administrative expenses</t>
  </si>
  <si>
    <t>Financial costs</t>
  </si>
  <si>
    <t>Trade  accounts receivable - net</t>
  </si>
  <si>
    <t xml:space="preserve">                               BAHT</t>
  </si>
  <si>
    <t>Dividend income</t>
  </si>
  <si>
    <t>เงินสดคงเหลือสิ้นงวด =</t>
  </si>
  <si>
    <t>TEST  ต้อง = 0</t>
  </si>
  <si>
    <t>Allowance for doubtful account (reversal)</t>
  </si>
  <si>
    <t>Retained earnings  (Deficit)</t>
  </si>
  <si>
    <t>Note</t>
  </si>
  <si>
    <t>to equity holders</t>
  </si>
  <si>
    <t>of parent</t>
  </si>
  <si>
    <t>NON-CURRENT LIABILITIES</t>
  </si>
  <si>
    <t>TOTAL NON-CURRENT LIABILITIES</t>
  </si>
  <si>
    <t>TOTAL LIABILITIES</t>
  </si>
  <si>
    <t>STATEMENTS  OF COMPREHENSIVE  INCOME</t>
  </si>
  <si>
    <t>Non</t>
  </si>
  <si>
    <t>Controlling</t>
  </si>
  <si>
    <t>Other components of shareholders' equity</t>
  </si>
  <si>
    <t>shareholders' equity</t>
  </si>
  <si>
    <t>Total  other</t>
  </si>
  <si>
    <t xml:space="preserve"> components of </t>
  </si>
  <si>
    <t xml:space="preserve">Non-controlling interests </t>
  </si>
  <si>
    <t>Trade accounts receivable - related parties</t>
  </si>
  <si>
    <t>Trade accounts receivable - other parties</t>
  </si>
  <si>
    <t>Trade accounts payable - other parties</t>
  </si>
  <si>
    <t xml:space="preserve">   Payment of interest expense</t>
  </si>
  <si>
    <t>STATEMENTS OF FINANCIAL POSITION</t>
  </si>
  <si>
    <t>Net income (loss) attributable to :</t>
  </si>
  <si>
    <t>Equity holders of the parent</t>
  </si>
  <si>
    <t>Other comprehensive income (loss)</t>
  </si>
  <si>
    <t>Total comprehensive income (loss) attributable to :</t>
  </si>
  <si>
    <t>Operating gain (loss) before changes in operating assets and liabilities</t>
  </si>
  <si>
    <t>Check</t>
  </si>
  <si>
    <t>Warrants</t>
  </si>
  <si>
    <t>Value  added tax - net</t>
  </si>
  <si>
    <t>BASIC EARNINGS PER SHARE</t>
  </si>
  <si>
    <t>DILUTED EARNINGS PER SHARE</t>
  </si>
  <si>
    <t>Interests</t>
  </si>
  <si>
    <t>Accounts receivable - Other</t>
  </si>
  <si>
    <t>Other accounts receivable - related parties</t>
  </si>
  <si>
    <t>Other accounts receivable - other parties</t>
  </si>
  <si>
    <t>Cost of services</t>
  </si>
  <si>
    <t>Other accounts payable - other parties</t>
  </si>
  <si>
    <t>Net cash received from operation</t>
  </si>
  <si>
    <t xml:space="preserve">attributable </t>
  </si>
  <si>
    <t xml:space="preserve">Equity </t>
  </si>
  <si>
    <t>Profit (loss) before income tax</t>
  </si>
  <si>
    <t>STATEMENTS OF CHANGES IN SHAREHOLDERS' EQUITY</t>
  </si>
  <si>
    <t>Loan to other parties, (increase) decrease</t>
  </si>
  <si>
    <t>Loan to related company, (increase) decrease</t>
  </si>
  <si>
    <t>Deferred tax assets</t>
  </si>
  <si>
    <t>Accounts payable - Trade</t>
  </si>
  <si>
    <t xml:space="preserve">     Total equity of the parent</t>
  </si>
  <si>
    <t xml:space="preserve">     Total shasreholders' equity</t>
  </si>
  <si>
    <t>Exchange differences on translation of foreign operations</t>
  </si>
  <si>
    <t xml:space="preserve">Net profit (loss) </t>
  </si>
  <si>
    <t>Employee benefits</t>
  </si>
  <si>
    <t>Deferred tax (income) expense</t>
  </si>
  <si>
    <t xml:space="preserve">   Appropriated to legal reserve</t>
  </si>
  <si>
    <t>The accompanying notes to financial statements are an integral part of these financial statements.</t>
  </si>
  <si>
    <t>Dividend paid by the Company</t>
  </si>
  <si>
    <t xml:space="preserve">   Total comprehensive income (loss) for the year</t>
  </si>
  <si>
    <t xml:space="preserve">  Cash Dividend paid</t>
  </si>
  <si>
    <t>For the years ended December 31</t>
  </si>
  <si>
    <t>Income tax expense</t>
  </si>
  <si>
    <t>Profit (loss) for the years</t>
  </si>
  <si>
    <t>Other comprehensive income (loss) for the years, net of tax</t>
  </si>
  <si>
    <t>Total comprehensive income (loss) for the years</t>
  </si>
  <si>
    <t>Income tax expense of current year</t>
  </si>
  <si>
    <t>Other components of</t>
  </si>
  <si>
    <t>Gain (loss) from estimate of</t>
  </si>
  <si>
    <t>actuarial assumptions</t>
  </si>
  <si>
    <t>Changes in equity</t>
  </si>
  <si>
    <t xml:space="preserve">Changes in equity </t>
  </si>
  <si>
    <t xml:space="preserve">Net cash provided by (used in) investing activities </t>
  </si>
  <si>
    <t>CASH AND CASH EQUIVALENTS, BEGINNING OF YEARS</t>
  </si>
  <si>
    <t>CASH AND CASH EQUIVALENTS, END OF YEARS</t>
  </si>
  <si>
    <t>Investment Property</t>
  </si>
  <si>
    <t>Ordinary shares increased - exercise of warrants</t>
  </si>
  <si>
    <t xml:space="preserve">Share capital - Baht 0.125 each </t>
  </si>
  <si>
    <t>Premium on  share capital</t>
  </si>
  <si>
    <t>Premium</t>
  </si>
  <si>
    <t>(Discount) on</t>
  </si>
  <si>
    <t xml:space="preserve">Share  </t>
  </si>
  <si>
    <t>subscriptions</t>
  </si>
  <si>
    <t>received</t>
  </si>
  <si>
    <t>in advance</t>
  </si>
  <si>
    <t>Other non-current liabilities</t>
  </si>
  <si>
    <t>Loans - Long term</t>
  </si>
  <si>
    <t>Short-term loan from Financial Institution</t>
  </si>
  <si>
    <t>Other comprehensive income to be reclassified</t>
  </si>
  <si>
    <t>to profit or loss in subsequent periods :</t>
  </si>
  <si>
    <t>Other comprehensive income not to be reclassified</t>
  </si>
  <si>
    <t>Gain (loss) from estimate of actuarial assumptions</t>
  </si>
  <si>
    <t>Income tax in other component of shareholders's equity</t>
  </si>
  <si>
    <t xml:space="preserve">   Transfer gain(loss) from estimate of acturial</t>
  </si>
  <si>
    <t xml:space="preserve">    - assumptions to retained earnings</t>
  </si>
  <si>
    <t>Gain (loss) from</t>
  </si>
  <si>
    <t xml:space="preserve">estimate of </t>
  </si>
  <si>
    <t>actuarial</t>
  </si>
  <si>
    <t>assumptions</t>
  </si>
  <si>
    <t xml:space="preserve">   Cash dividend paid</t>
  </si>
  <si>
    <t>Dividend received from other company</t>
  </si>
  <si>
    <t xml:space="preserve">  Ordinary shares increased - exercise of warrants</t>
  </si>
  <si>
    <t xml:space="preserve">  Appropriated to legal reserve</t>
  </si>
  <si>
    <t xml:space="preserve">   Ordinary shares increased - exercise of warrants</t>
  </si>
  <si>
    <t>OPERATING AND INVESTMENT  ACTIVITIES NOT AFFECTING CASH</t>
  </si>
  <si>
    <t>Other current financial assets</t>
  </si>
  <si>
    <t>Other non-current financial assets</t>
  </si>
  <si>
    <t>Property and equipment - net</t>
  </si>
  <si>
    <t>Other accounts payables</t>
  </si>
  <si>
    <t>Non-current provision for employee benefit</t>
  </si>
  <si>
    <t>Gain on sales from measurement of other current financial assets</t>
  </si>
  <si>
    <t>Unrealized gain from measurement of other current financial assets</t>
  </si>
  <si>
    <t>Unrealized loss from measurement of other current financial assets</t>
  </si>
  <si>
    <t>8.4</t>
  </si>
  <si>
    <t>Other non-current financial assets, decrease(increase)</t>
  </si>
  <si>
    <t>Purchase of property and equipments</t>
  </si>
  <si>
    <t>Related  parties</t>
  </si>
  <si>
    <t>Right of used assets</t>
  </si>
  <si>
    <t>Current portion - Liabilities under financial lease contract</t>
  </si>
  <si>
    <t>Liabilities under financial lease contract</t>
  </si>
  <si>
    <t>Other accounts payable - related parties</t>
  </si>
  <si>
    <t>Investments in subsidiary companies, decrease(increase)</t>
  </si>
  <si>
    <t>December 31, 2023</t>
  </si>
  <si>
    <t>- Ordinary share 13,156,835,895  shares in year 2023</t>
  </si>
  <si>
    <t>Beginning balance as at January 1, 2023</t>
  </si>
  <si>
    <t>Ending balance as at  December 31, 2023</t>
  </si>
  <si>
    <t>Ending balance as at December 31, 2023</t>
  </si>
  <si>
    <t>7, 12</t>
  </si>
  <si>
    <t>Prepaid corporate income tax</t>
  </si>
  <si>
    <t>Gain on sales of other non-current financial assets</t>
  </si>
  <si>
    <t>Allowance for impairment of assets</t>
  </si>
  <si>
    <t>13,14,16</t>
  </si>
  <si>
    <t>Depreciation and amortization</t>
  </si>
  <si>
    <t>Reduced value of inventory (reversal)</t>
  </si>
  <si>
    <t>Trade accounts payable - related parties</t>
  </si>
  <si>
    <t>14</t>
  </si>
  <si>
    <t>15</t>
  </si>
  <si>
    <t>Short-term loan from financial institution, increase (decrease)</t>
  </si>
  <si>
    <t>Loan from related company, increase (decrease)</t>
  </si>
  <si>
    <t>Intangible assets - NFTs</t>
  </si>
  <si>
    <t>Cash paid for lease liabilities</t>
  </si>
  <si>
    <t>AS AT DECEMBER 31, 2024</t>
  </si>
  <si>
    <t>- Ordinary share 9,315,208,558  shares in year 2023</t>
  </si>
  <si>
    <t>December 31, 2024</t>
  </si>
  <si>
    <t>FOR  THE YEAR ENDED DECEMBER 31, 2024</t>
  </si>
  <si>
    <t>Beginning balance as at January 1, 2024</t>
  </si>
  <si>
    <t>Ending balance as at December 31, 2024</t>
  </si>
  <si>
    <t>Ending balance as at  December 31, 2024</t>
  </si>
  <si>
    <t>- Ordinary share 13,262,835,895  shares in year 2024</t>
  </si>
  <si>
    <t>- Ordinary share 10,800,820,471  shares in year 2024</t>
  </si>
  <si>
    <t xml:space="preserve">Income from digital assets inventory </t>
  </si>
  <si>
    <t>Gain (loss) from exchange digital assets inventory</t>
  </si>
  <si>
    <t xml:space="preserve">   Cash paid to employee benefits</t>
  </si>
  <si>
    <t>2.4</t>
  </si>
  <si>
    <t>Intangible assets (increase) decrease</t>
  </si>
  <si>
    <t>Digital asset inventory (increase) decrease</t>
  </si>
  <si>
    <t>Loss on sales from measurement of other current financial assets</t>
  </si>
  <si>
    <t>Reversal for impairment of assets</t>
  </si>
  <si>
    <t>Loss from disposal and write off  of assets</t>
  </si>
  <si>
    <t xml:space="preserve">Inventory </t>
  </si>
  <si>
    <t>Cash received from disposal of assets</t>
  </si>
  <si>
    <t>Services income</t>
  </si>
  <si>
    <t>Income from sales of digital assets</t>
  </si>
  <si>
    <t>Inventory</t>
  </si>
  <si>
    <t>Intangible assets - Digital Assets</t>
  </si>
  <si>
    <t>Land held for development</t>
  </si>
  <si>
    <t>Purchase Land held for development</t>
  </si>
  <si>
    <t>14,16</t>
  </si>
  <si>
    <t>17.1</t>
  </si>
  <si>
    <t>Investments in associate and Joint ventures</t>
  </si>
  <si>
    <t>Share of profit (loss) from investments in associate and joint ventures</t>
  </si>
  <si>
    <t>Share  loss from investments in associate and joint ventures</t>
  </si>
  <si>
    <t>Investments in associate and joint ventures, (increase) decrease</t>
  </si>
  <si>
    <t>Profit (loss) from operating activities</t>
  </si>
  <si>
    <t xml:space="preserve">Cost of sale : </t>
  </si>
  <si>
    <t xml:space="preserve">   - Cost of sale from digital assets</t>
  </si>
  <si>
    <t xml:space="preserve">   - Reversal for reduced value of inventory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</si>
</sst>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\(#,##0.00\)"/>
    <numFmt numFmtId="167" formatCode="#,##0;\(#,##0\)"/>
    <numFmt numFmtId="168" formatCode="#,##0.0;\(#,##0.0\)"/>
    <numFmt numFmtId="169" formatCode="0.0%"/>
    <numFmt numFmtId="170" formatCode="dd\-mmm\-yy_)"/>
    <numFmt numFmtId="171" formatCode="0.00_)"/>
    <numFmt numFmtId="172" formatCode="#,##0.00\ &quot;F&quot;;\-#,##0.00\ &quot;F&quot;"/>
    <numFmt numFmtId="173" formatCode="\U\$#,##0;\]\(\U\$#,##0\)"/>
    <numFmt numFmtId="174" formatCode="_-* #,##0_-;\-* #,##0_-;_-* &quot;-&quot;??_-;_-@_-"/>
    <numFmt numFmtId="175" formatCode="&quot;$&quot;#,##0.00"/>
    <numFmt numFmtId="176" formatCode="_(* #,##0.000_);_(* \(#,##0.000\);_(* &quot;-&quot;??_);_(@_)"/>
  </numFmts>
  <fonts count="30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sz val="12"/>
      <color indexed="10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3"/>
      <name val="Angsana New"/>
      <family val="1"/>
      <charset val="222"/>
    </font>
    <font>
      <sz val="13"/>
      <name val="AngsanaUPC"/>
      <family val="1"/>
      <charset val="222"/>
    </font>
    <font>
      <sz val="12"/>
      <name val="AngsanaUPC"/>
      <family val="1"/>
      <charset val="222"/>
    </font>
    <font>
      <sz val="14"/>
      <name val="Angsana New"/>
      <family val="1"/>
    </font>
    <font>
      <b/>
      <sz val="14"/>
      <name val="Angsana New"/>
      <family val="1"/>
    </font>
    <font>
      <b/>
      <u/>
      <sz val="14"/>
      <name val="Angsana New"/>
      <family val="1"/>
    </font>
    <font>
      <sz val="14"/>
      <color indexed="10"/>
      <name val="Angsana New"/>
      <family val="1"/>
    </font>
    <font>
      <sz val="14"/>
      <name val="AngsanaUPC"/>
      <family val="1"/>
      <charset val="222"/>
    </font>
    <font>
      <sz val="14"/>
      <name val="Angsana New"/>
      <family val="1"/>
      <charset val="222"/>
    </font>
    <font>
      <sz val="14"/>
      <name val="Cordia New"/>
      <family val="2"/>
    </font>
    <font>
      <sz val="13"/>
      <name val="Angsana New"/>
      <family val="1"/>
    </font>
    <font>
      <sz val="10"/>
      <name val="Angsana New"/>
      <family val="1"/>
    </font>
    <font>
      <b/>
      <sz val="13"/>
      <name val="Angsana New"/>
      <family val="1"/>
    </font>
    <font>
      <sz val="8"/>
      <name val="Angsana New"/>
      <family val="1"/>
    </font>
    <font>
      <i/>
      <sz val="12"/>
      <name val="Angsana New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72" fontId="9" fillId="0" borderId="0"/>
    <xf numFmtId="170" fontId="9" fillId="0" borderId="0"/>
    <xf numFmtId="169" fontId="9" fillId="0" borderId="0"/>
    <xf numFmtId="38" fontId="8" fillId="2" borderId="0" applyNumberFormat="0" applyBorder="0" applyAlignment="0" applyProtection="0"/>
    <xf numFmtId="10" fontId="8" fillId="3" borderId="1" applyNumberFormat="0" applyBorder="0" applyAlignment="0" applyProtection="0"/>
    <xf numFmtId="37" fontId="10" fillId="0" borderId="0"/>
    <xf numFmtId="171" fontId="11" fillId="0" borderId="0"/>
    <xf numFmtId="0" fontId="24" fillId="0" borderId="0"/>
    <xf numFmtId="10" fontId="12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</cellStyleXfs>
  <cellXfs count="240">
    <xf numFmtId="0" fontId="0" fillId="0" borderId="0" xfId="0"/>
    <xf numFmtId="166" fontId="2" fillId="0" borderId="0" xfId="0" applyNumberFormat="1" applyFont="1"/>
    <xf numFmtId="166" fontId="2" fillId="0" borderId="0" xfId="1" applyNumberFormat="1" applyFont="1" applyFill="1" applyBorder="1"/>
    <xf numFmtId="0" fontId="2" fillId="0" borderId="0" xfId="0" applyFont="1"/>
    <xf numFmtId="43" fontId="2" fillId="0" borderId="0" xfId="1" applyFont="1" applyFill="1"/>
    <xf numFmtId="166" fontId="2" fillId="0" borderId="0" xfId="1" applyNumberFormat="1" applyFont="1" applyFill="1"/>
    <xf numFmtId="0" fontId="2" fillId="0" borderId="0" xfId="0" applyFont="1" applyAlignment="1">
      <alignment horizontal="center"/>
    </xf>
    <xf numFmtId="43" fontId="2" fillId="0" borderId="0" xfId="1" applyFont="1" applyFill="1" applyBorder="1"/>
    <xf numFmtId="166" fontId="3" fillId="0" borderId="0" xfId="0" applyNumberFormat="1" applyFont="1" applyAlignment="1">
      <alignment horizontal="center"/>
    </xf>
    <xf numFmtId="0" fontId="3" fillId="0" borderId="0" xfId="0" applyFont="1"/>
    <xf numFmtId="166" fontId="3" fillId="0" borderId="0" xfId="0" applyNumberFormat="1" applyFont="1" applyAlignment="1">
      <alignment horizontal="right"/>
    </xf>
    <xf numFmtId="166" fontId="3" fillId="0" borderId="0" xfId="1" applyNumberFormat="1" applyFont="1" applyFill="1"/>
    <xf numFmtId="166" fontId="3" fillId="0" borderId="0" xfId="1" applyNumberFormat="1" applyFont="1" applyFill="1" applyAlignment="1">
      <alignment horizontal="right"/>
    </xf>
    <xf numFmtId="0" fontId="3" fillId="0" borderId="0" xfId="0" applyFont="1" applyAlignment="1">
      <alignment horizontal="center"/>
    </xf>
    <xf numFmtId="43" fontId="3" fillId="0" borderId="0" xfId="1" applyFont="1" applyFill="1"/>
    <xf numFmtId="167" fontId="3" fillId="0" borderId="0" xfId="0" applyNumberFormat="1" applyFont="1"/>
    <xf numFmtId="166" fontId="3" fillId="0" borderId="3" xfId="1" applyNumberFormat="1" applyFont="1" applyFill="1" applyBorder="1"/>
    <xf numFmtId="166" fontId="3" fillId="0" borderId="0" xfId="1" applyNumberFormat="1" applyFont="1" applyFill="1" applyBorder="1"/>
    <xf numFmtId="166" fontId="3" fillId="0" borderId="0" xfId="0" applyNumberFormat="1" applyFont="1"/>
    <xf numFmtId="166" fontId="3" fillId="0" borderId="4" xfId="1" applyNumberFormat="1" applyFont="1" applyFill="1" applyBorder="1"/>
    <xf numFmtId="166" fontId="3" fillId="0" borderId="0" xfId="1" applyNumberFormat="1" applyFont="1" applyFill="1" applyBorder="1" applyAlignment="1">
      <alignment horizontal="center" wrapText="1"/>
    </xf>
    <xf numFmtId="43" fontId="3" fillId="0" borderId="0" xfId="1" applyFont="1" applyFill="1" applyBorder="1"/>
    <xf numFmtId="166" fontId="3" fillId="0" borderId="5" xfId="1" applyNumberFormat="1" applyFont="1" applyFill="1" applyBorder="1"/>
    <xf numFmtId="43" fontId="3" fillId="0" borderId="0" xfId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left"/>
    </xf>
    <xf numFmtId="166" fontId="3" fillId="0" borderId="0" xfId="1" applyNumberFormat="1" applyFont="1" applyFill="1" applyAlignment="1">
      <alignment horizontal="center"/>
    </xf>
    <xf numFmtId="166" fontId="3" fillId="0" borderId="0" xfId="1" quotePrefix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right"/>
    </xf>
    <xf numFmtId="43" fontId="3" fillId="0" borderId="0" xfId="1" applyFont="1" applyFill="1" applyAlignment="1">
      <alignment horizontal="center"/>
    </xf>
    <xf numFmtId="166" fontId="3" fillId="0" borderId="5" xfId="1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0" fontId="4" fillId="0" borderId="0" xfId="0" quotePrefix="1" applyFont="1"/>
    <xf numFmtId="0" fontId="6" fillId="0" borderId="0" xfId="0" applyFont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3" fillId="0" borderId="0" xfId="0" quotePrefix="1" applyFont="1"/>
    <xf numFmtId="166" fontId="3" fillId="4" borderId="0" xfId="1" applyNumberFormat="1" applyFont="1" applyFill="1" applyBorder="1"/>
    <xf numFmtId="166" fontId="3" fillId="0" borderId="0" xfId="1" quotePrefix="1" applyNumberFormat="1" applyFont="1" applyFill="1" applyBorder="1" applyAlignment="1">
      <alignment horizontal="left"/>
    </xf>
    <xf numFmtId="166" fontId="3" fillId="5" borderId="0" xfId="1" applyNumberFormat="1" applyFont="1" applyFill="1" applyBorder="1"/>
    <xf numFmtId="166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3" fillId="6" borderId="0" xfId="1" applyNumberFormat="1" applyFont="1" applyFill="1"/>
    <xf numFmtId="166" fontId="3" fillId="0" borderId="0" xfId="1" applyNumberFormat="1" applyFont="1" applyFill="1" applyAlignment="1">
      <alignment horizontal="left"/>
    </xf>
    <xf numFmtId="166" fontId="6" fillId="0" borderId="5" xfId="1" applyNumberFormat="1" applyFont="1" applyFill="1" applyBorder="1" applyAlignment="1">
      <alignment horizontal="center" vertical="top" wrapText="1"/>
    </xf>
    <xf numFmtId="166" fontId="2" fillId="0" borderId="5" xfId="0" applyNumberFormat="1" applyFont="1" applyBorder="1"/>
    <xf numFmtId="166" fontId="6" fillId="0" borderId="5" xfId="0" applyNumberFormat="1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66" fontId="2" fillId="0" borderId="5" xfId="1" applyNumberFormat="1" applyFont="1" applyFill="1" applyBorder="1"/>
    <xf numFmtId="167" fontId="2" fillId="0" borderId="0" xfId="0" applyNumberFormat="1" applyFont="1"/>
    <xf numFmtId="167" fontId="6" fillId="0" borderId="5" xfId="0" applyNumberFormat="1" applyFont="1" applyBorder="1" applyAlignment="1">
      <alignment horizontal="center"/>
    </xf>
    <xf numFmtId="167" fontId="3" fillId="0" borderId="0" xfId="1" applyNumberFormat="1" applyFont="1" applyFill="1" applyBorder="1"/>
    <xf numFmtId="167" fontId="2" fillId="0" borderId="0" xfId="0" applyNumberFormat="1" applyFont="1" applyAlignment="1">
      <alignment horizontal="right"/>
    </xf>
    <xf numFmtId="167" fontId="2" fillId="0" borderId="0" xfId="0" quotePrefix="1" applyNumberFormat="1" applyFont="1"/>
    <xf numFmtId="166" fontId="3" fillId="0" borderId="0" xfId="1" applyNumberFormat="1" applyFont="1" applyFill="1" applyBorder="1" applyAlignment="1">
      <alignment horizontal="right"/>
    </xf>
    <xf numFmtId="166" fontId="2" fillId="0" borderId="6" xfId="0" applyNumberFormat="1" applyFont="1" applyBorder="1"/>
    <xf numFmtId="167" fontId="2" fillId="0" borderId="7" xfId="0" applyNumberFormat="1" applyFont="1" applyBorder="1"/>
    <xf numFmtId="166" fontId="2" fillId="6" borderId="0" xfId="0" applyNumberFormat="1" applyFont="1" applyFill="1"/>
    <xf numFmtId="166" fontId="2" fillId="0" borderId="1" xfId="0" applyNumberFormat="1" applyFont="1" applyBorder="1"/>
    <xf numFmtId="166" fontId="2" fillId="0" borderId="8" xfId="0" applyNumberFormat="1" applyFont="1" applyBorder="1"/>
    <xf numFmtId="167" fontId="2" fillId="0" borderId="9" xfId="0" quotePrefix="1" applyNumberFormat="1" applyFont="1" applyBorder="1"/>
    <xf numFmtId="167" fontId="2" fillId="0" borderId="7" xfId="0" quotePrefix="1" applyNumberFormat="1" applyFont="1" applyBorder="1"/>
    <xf numFmtId="166" fontId="2" fillId="0" borderId="10" xfId="0" applyNumberFormat="1" applyFont="1" applyBorder="1"/>
    <xf numFmtId="166" fontId="2" fillId="6" borderId="0" xfId="1" applyNumberFormat="1" applyFont="1" applyFill="1"/>
    <xf numFmtId="166" fontId="2" fillId="6" borderId="0" xfId="1" applyNumberFormat="1" applyFont="1" applyFill="1" applyBorder="1"/>
    <xf numFmtId="167" fontId="2" fillId="0" borderId="11" xfId="0" quotePrefix="1" applyNumberFormat="1" applyFont="1" applyBorder="1"/>
    <xf numFmtId="166" fontId="2" fillId="0" borderId="12" xfId="0" applyNumberFormat="1" applyFont="1" applyBorder="1"/>
    <xf numFmtId="166" fontId="2" fillId="0" borderId="3" xfId="0" applyNumberFormat="1" applyFont="1" applyBorder="1"/>
    <xf numFmtId="166" fontId="2" fillId="0" borderId="4" xfId="0" applyNumberFormat="1" applyFont="1" applyBorder="1"/>
    <xf numFmtId="164" fontId="2" fillId="0" borderId="0" xfId="0" applyNumberFormat="1" applyFont="1"/>
    <xf numFmtId="166" fontId="2" fillId="7" borderId="0" xfId="0" applyNumberFormat="1" applyFont="1" applyFill="1"/>
    <xf numFmtId="166" fontId="3" fillId="6" borderId="0" xfId="1" applyNumberFormat="1" applyFont="1" applyFill="1" applyAlignment="1">
      <alignment horizontal="right"/>
    </xf>
    <xf numFmtId="166" fontId="3" fillId="6" borderId="5" xfId="1" applyNumberFormat="1" applyFont="1" applyFill="1" applyBorder="1"/>
    <xf numFmtId="166" fontId="2" fillId="5" borderId="1" xfId="0" applyNumberFormat="1" applyFont="1" applyFill="1" applyBorder="1"/>
    <xf numFmtId="166" fontId="2" fillId="5" borderId="0" xfId="0" applyNumberFormat="1" applyFont="1" applyFill="1"/>
    <xf numFmtId="166" fontId="3" fillId="6" borderId="1" xfId="1" applyNumberFormat="1" applyFont="1" applyFill="1" applyBorder="1"/>
    <xf numFmtId="166" fontId="18" fillId="0" borderId="0" xfId="1" applyNumberFormat="1" applyFont="1" applyFill="1" applyAlignment="1">
      <alignment horizontal="left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/>
    <xf numFmtId="166" fontId="18" fillId="0" borderId="0" xfId="1" applyNumberFormat="1" applyFont="1" applyFill="1" applyBorder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/>
    <xf numFmtId="0" fontId="18" fillId="0" borderId="0" xfId="0" applyFont="1"/>
    <xf numFmtId="166" fontId="18" fillId="0" borderId="0" xfId="1" applyNumberFormat="1" applyFont="1" applyFill="1" applyBorder="1"/>
    <xf numFmtId="166" fontId="18" fillId="0" borderId="5" xfId="1" quotePrefix="1" applyNumberFormat="1" applyFont="1" applyFill="1" applyBorder="1" applyAlignment="1">
      <alignment horizontal="left"/>
    </xf>
    <xf numFmtId="166" fontId="18" fillId="0" borderId="5" xfId="1" applyNumberFormat="1" applyFont="1" applyFill="1" applyBorder="1" applyAlignment="1">
      <alignment horizontal="center"/>
    </xf>
    <xf numFmtId="166" fontId="18" fillId="0" borderId="5" xfId="0" applyNumberFormat="1" applyFont="1" applyBorder="1"/>
    <xf numFmtId="166" fontId="18" fillId="0" borderId="5" xfId="1" applyNumberFormat="1" applyFont="1" applyFill="1" applyBorder="1"/>
    <xf numFmtId="167" fontId="18" fillId="0" borderId="5" xfId="0" applyNumberFormat="1" applyFont="1" applyBorder="1"/>
    <xf numFmtId="166" fontId="18" fillId="0" borderId="0" xfId="1" quotePrefix="1" applyNumberFormat="1" applyFont="1" applyFill="1" applyBorder="1" applyAlignment="1">
      <alignment horizontal="left"/>
    </xf>
    <xf numFmtId="166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166" fontId="18" fillId="0" borderId="5" xfId="1" applyNumberFormat="1" applyFont="1" applyFill="1" applyBorder="1" applyAlignment="1">
      <alignment horizontal="center" vertical="top" wrapText="1"/>
    </xf>
    <xf numFmtId="167" fontId="18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166" fontId="18" fillId="0" borderId="0" xfId="1" applyNumberFormat="1" applyFont="1" applyFill="1" applyBorder="1" applyAlignment="1">
      <alignment horizontal="center" vertical="top" wrapText="1"/>
    </xf>
    <xf numFmtId="167" fontId="18" fillId="0" borderId="0" xfId="0" applyNumberFormat="1" applyFont="1" applyAlignment="1">
      <alignment horizontal="center"/>
    </xf>
    <xf numFmtId="173" fontId="18" fillId="0" borderId="0" xfId="0" applyNumberFormat="1" applyFont="1" applyAlignment="1">
      <alignment horizontal="right"/>
    </xf>
    <xf numFmtId="166" fontId="18" fillId="0" borderId="0" xfId="1" applyNumberFormat="1" applyFont="1" applyFill="1"/>
    <xf numFmtId="0" fontId="18" fillId="0" borderId="5" xfId="0" applyFont="1" applyBorder="1"/>
    <xf numFmtId="167" fontId="18" fillId="0" borderId="0" xfId="0" quotePrefix="1" applyNumberFormat="1" applyFont="1"/>
    <xf numFmtId="166" fontId="18" fillId="0" borderId="9" xfId="1" applyNumberFormat="1" applyFont="1" applyFill="1" applyBorder="1"/>
    <xf numFmtId="166" fontId="18" fillId="0" borderId="13" xfId="0" applyNumberFormat="1" applyFont="1" applyBorder="1"/>
    <xf numFmtId="166" fontId="18" fillId="0" borderId="13" xfId="1" applyNumberFormat="1" applyFont="1" applyFill="1" applyBorder="1"/>
    <xf numFmtId="166" fontId="18" fillId="0" borderId="6" xfId="0" applyNumberFormat="1" applyFont="1" applyBorder="1"/>
    <xf numFmtId="0" fontId="18" fillId="0" borderId="10" xfId="0" applyFont="1" applyBorder="1"/>
    <xf numFmtId="166" fontId="18" fillId="0" borderId="7" xfId="1" applyNumberFormat="1" applyFont="1" applyFill="1" applyBorder="1"/>
    <xf numFmtId="166" fontId="18" fillId="0" borderId="10" xfId="0" applyNumberFormat="1" applyFont="1" applyBorder="1"/>
    <xf numFmtId="0" fontId="18" fillId="0" borderId="1" xfId="0" applyFont="1" applyBorder="1"/>
    <xf numFmtId="166" fontId="18" fillId="0" borderId="3" xfId="1" applyNumberFormat="1" applyFont="1" applyFill="1" applyBorder="1"/>
    <xf numFmtId="0" fontId="19" fillId="0" borderId="0" xfId="0" applyFont="1"/>
    <xf numFmtId="166" fontId="18" fillId="7" borderId="0" xfId="0" applyNumberFormat="1" applyFont="1" applyFill="1"/>
    <xf numFmtId="166" fontId="18" fillId="7" borderId="4" xfId="0" applyNumberFormat="1" applyFont="1" applyFill="1" applyBorder="1"/>
    <xf numFmtId="0" fontId="20" fillId="0" borderId="0" xfId="0" applyFont="1"/>
    <xf numFmtId="167" fontId="18" fillId="0" borderId="0" xfId="1" applyNumberFormat="1" applyFont="1" applyFill="1" applyBorder="1"/>
    <xf numFmtId="0" fontId="18" fillId="0" borderId="0" xfId="0" quotePrefix="1" applyFont="1"/>
    <xf numFmtId="0" fontId="21" fillId="0" borderId="0" xfId="0" quotePrefix="1" applyFont="1"/>
    <xf numFmtId="166" fontId="18" fillId="0" borderId="0" xfId="1" applyNumberFormat="1" applyFont="1" applyFill="1" applyBorder="1" applyAlignment="1">
      <alignment horizontal="right"/>
    </xf>
    <xf numFmtId="166" fontId="18" fillId="4" borderId="0" xfId="1" applyNumberFormat="1" applyFont="1" applyFill="1" applyBorder="1"/>
    <xf numFmtId="167" fontId="18" fillId="0" borderId="0" xfId="0" applyNumberFormat="1" applyFont="1" applyAlignment="1">
      <alignment horizontal="right"/>
    </xf>
    <xf numFmtId="166" fontId="18" fillId="5" borderId="0" xfId="1" applyNumberFormat="1" applyFont="1" applyFill="1" applyBorder="1"/>
    <xf numFmtId="166" fontId="18" fillId="0" borderId="0" xfId="0" applyNumberFormat="1" applyFont="1" applyAlignment="1">
      <alignment horizontal="right"/>
    </xf>
    <xf numFmtId="166" fontId="18" fillId="0" borderId="0" xfId="1" applyNumberFormat="1" applyFont="1" applyFill="1" applyBorder="1" applyAlignment="1">
      <alignment horizontal="left"/>
    </xf>
    <xf numFmtId="166" fontId="17" fillId="0" borderId="0" xfId="0" applyNumberFormat="1" applyFont="1" applyAlignment="1">
      <alignment horizontal="center"/>
    </xf>
    <xf numFmtId="43" fontId="7" fillId="0" borderId="0" xfId="1" applyFont="1" applyFill="1"/>
    <xf numFmtId="43" fontId="7" fillId="0" borderId="0" xfId="1" applyFont="1" applyFill="1" applyBorder="1"/>
    <xf numFmtId="167" fontId="17" fillId="0" borderId="0" xfId="0" applyNumberFormat="1" applyFont="1"/>
    <xf numFmtId="166" fontId="22" fillId="0" borderId="0" xfId="0" applyNumberFormat="1" applyFont="1" applyAlignment="1">
      <alignment horizontal="center"/>
    </xf>
    <xf numFmtId="0" fontId="23" fillId="0" borderId="0" xfId="0" applyFont="1"/>
    <xf numFmtId="43" fontId="18" fillId="0" borderId="0" xfId="1" applyFont="1" applyFill="1" applyBorder="1"/>
    <xf numFmtId="167" fontId="22" fillId="0" borderId="0" xfId="0" applyNumberFormat="1" applyFont="1"/>
    <xf numFmtId="166" fontId="18" fillId="0" borderId="0" xfId="0" applyNumberFormat="1" applyFont="1" applyAlignment="1">
      <alignment horizontal="left"/>
    </xf>
    <xf numFmtId="166" fontId="18" fillId="0" borderId="0" xfId="1" applyNumberFormat="1" applyFont="1" applyFill="1" applyAlignment="1"/>
    <xf numFmtId="43" fontId="18" fillId="0" borderId="0" xfId="1" applyFont="1" applyFill="1" applyAlignment="1">
      <alignment horizontal="center"/>
    </xf>
    <xf numFmtId="43" fontId="18" fillId="0" borderId="0" xfId="1" applyFont="1" applyFill="1"/>
    <xf numFmtId="0" fontId="18" fillId="0" borderId="0" xfId="1" applyNumberFormat="1" applyFont="1" applyFill="1" applyAlignment="1">
      <alignment horizontal="center"/>
    </xf>
    <xf numFmtId="4" fontId="18" fillId="0" borderId="0" xfId="1" applyNumberFormat="1" applyFont="1" applyFill="1"/>
    <xf numFmtId="0" fontId="18" fillId="0" borderId="0" xfId="1" applyNumberFormat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166" fontId="23" fillId="0" borderId="0" xfId="1" applyNumberFormat="1" applyFont="1" applyFill="1" applyBorder="1" applyAlignment="1">
      <alignment horizontal="center"/>
    </xf>
    <xf numFmtId="43" fontId="23" fillId="0" borderId="0" xfId="1" applyFont="1" applyFill="1" applyBorder="1"/>
    <xf numFmtId="49" fontId="3" fillId="0" borderId="0" xfId="1" applyNumberFormat="1" applyFont="1" applyFill="1" applyBorder="1" applyAlignment="1">
      <alignment horizontal="center"/>
    </xf>
    <xf numFmtId="166" fontId="3" fillId="0" borderId="13" xfId="0" applyNumberFormat="1" applyFont="1" applyBorder="1" applyAlignment="1">
      <alignment horizontal="center"/>
    </xf>
    <xf numFmtId="174" fontId="16" fillId="0" borderId="0" xfId="1" applyNumberFormat="1" applyFont="1" applyFill="1" applyBorder="1"/>
    <xf numFmtId="0" fontId="25" fillId="0" borderId="5" xfId="0" applyFont="1" applyBorder="1" applyAlignment="1">
      <alignment horizontal="center"/>
    </xf>
    <xf numFmtId="166" fontId="3" fillId="0" borderId="13" xfId="0" applyNumberFormat="1" applyFont="1" applyBorder="1" applyAlignment="1">
      <alignment horizontal="left"/>
    </xf>
    <xf numFmtId="166" fontId="3" fillId="0" borderId="13" xfId="1" applyNumberFormat="1" applyFont="1" applyFill="1" applyBorder="1" applyAlignment="1">
      <alignment horizontal="center"/>
    </xf>
    <xf numFmtId="166" fontId="16" fillId="0" borderId="13" xfId="0" applyNumberFormat="1" applyFont="1" applyBorder="1" applyAlignment="1">
      <alignment horizontal="center"/>
    </xf>
    <xf numFmtId="175" fontId="18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2" fillId="0" borderId="0" xfId="0" applyNumberFormat="1" applyFont="1"/>
    <xf numFmtId="43" fontId="3" fillId="0" borderId="0" xfId="0" applyNumberFormat="1" applyFont="1"/>
    <xf numFmtId="43" fontId="3" fillId="0" borderId="5" xfId="1" applyFont="1" applyFill="1" applyBorder="1"/>
    <xf numFmtId="43" fontId="3" fillId="0" borderId="13" xfId="1" applyFont="1" applyFill="1" applyBorder="1"/>
    <xf numFmtId="43" fontId="3" fillId="0" borderId="3" xfId="1" applyFont="1" applyFill="1" applyBorder="1"/>
    <xf numFmtId="43" fontId="3" fillId="0" borderId="0" xfId="1" applyFont="1" applyFill="1" applyAlignment="1">
      <alignment horizontal="right"/>
    </xf>
    <xf numFmtId="43" fontId="3" fillId="0" borderId="4" xfId="1" applyFont="1" applyFill="1" applyBorder="1"/>
    <xf numFmtId="43" fontId="18" fillId="0" borderId="5" xfId="1" applyFont="1" applyFill="1" applyBorder="1"/>
    <xf numFmtId="43" fontId="18" fillId="0" borderId="14" xfId="1" applyFont="1" applyFill="1" applyBorder="1"/>
    <xf numFmtId="43" fontId="18" fillId="0" borderId="0" xfId="0" applyNumberFormat="1" applyFont="1"/>
    <xf numFmtId="43" fontId="6" fillId="0" borderId="0" xfId="1" applyFont="1" applyFill="1" applyBorder="1" applyAlignment="1">
      <alignment horizontal="center"/>
    </xf>
    <xf numFmtId="43" fontId="3" fillId="0" borderId="0" xfId="0" applyNumberFormat="1" applyFont="1" applyAlignment="1">
      <alignment horizontal="center"/>
    </xf>
    <xf numFmtId="43" fontId="3" fillId="0" borderId="14" xfId="1" applyFont="1" applyFill="1" applyBorder="1"/>
    <xf numFmtId="43" fontId="3" fillId="0" borderId="5" xfId="1" applyFont="1" applyFill="1" applyBorder="1" applyAlignment="1">
      <alignment horizontal="right"/>
    </xf>
    <xf numFmtId="43" fontId="16" fillId="0" borderId="0" xfId="1" applyFont="1" applyFill="1" applyBorder="1"/>
    <xf numFmtId="43" fontId="16" fillId="0" borderId="0" xfId="1" applyFont="1" applyFill="1"/>
    <xf numFmtId="43" fontId="3" fillId="0" borderId="3" xfId="1" applyFont="1" applyFill="1" applyBorder="1" applyAlignment="1">
      <alignment horizontal="right"/>
    </xf>
    <xf numFmtId="43" fontId="3" fillId="0" borderId="4" xfId="1" applyFont="1" applyFill="1" applyBorder="1" applyAlignment="1">
      <alignment horizontal="right"/>
    </xf>
    <xf numFmtId="165" fontId="3" fillId="0" borderId="15" xfId="1" applyNumberFormat="1" applyFont="1" applyFill="1" applyBorder="1"/>
    <xf numFmtId="0" fontId="18" fillId="0" borderId="5" xfId="0" applyFont="1" applyBorder="1" applyAlignment="1">
      <alignment horizontal="center"/>
    </xf>
    <xf numFmtId="166" fontId="25" fillId="0" borderId="0" xfId="0" applyNumberFormat="1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/>
    <xf numFmtId="176" fontId="3" fillId="0" borderId="14" xfId="1" applyNumberFormat="1" applyFont="1" applyFill="1" applyBorder="1"/>
    <xf numFmtId="166" fontId="3" fillId="0" borderId="5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43" fontId="18" fillId="0" borderId="5" xfId="1" applyFont="1" applyFill="1" applyBorder="1" applyAlignment="1">
      <alignment horizontal="center"/>
    </xf>
    <xf numFmtId="0" fontId="2" fillId="8" borderId="0" xfId="0" applyFont="1" applyFill="1"/>
    <xf numFmtId="43" fontId="2" fillId="8" borderId="0" xfId="1" applyFont="1" applyFill="1" applyBorder="1"/>
    <xf numFmtId="166" fontId="17" fillId="0" borderId="0" xfId="0" applyNumberFormat="1" applyFont="1" applyAlignment="1">
      <alignment horizontal="right"/>
    </xf>
    <xf numFmtId="0" fontId="15" fillId="0" borderId="0" xfId="0" applyFont="1"/>
    <xf numFmtId="0" fontId="2" fillId="0" borderId="5" xfId="0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3" xfId="0" applyFont="1" applyBorder="1" applyAlignment="1">
      <alignment horizontal="center"/>
    </xf>
    <xf numFmtId="43" fontId="3" fillId="0" borderId="0" xfId="0" applyNumberFormat="1" applyFont="1" applyAlignment="1">
      <alignment horizontal="right"/>
    </xf>
    <xf numFmtId="38" fontId="3" fillId="0" borderId="0" xfId="0" applyNumberFormat="1" applyFont="1"/>
    <xf numFmtId="43" fontId="3" fillId="0" borderId="14" xfId="0" applyNumberFormat="1" applyFont="1" applyBorder="1" applyAlignment="1">
      <alignment horizontal="right"/>
    </xf>
    <xf numFmtId="168" fontId="3" fillId="0" borderId="0" xfId="0" applyNumberFormat="1" applyFont="1" applyAlignment="1">
      <alignment horizontal="center"/>
    </xf>
    <xf numFmtId="43" fontId="3" fillId="0" borderId="5" xfId="0" applyNumberFormat="1" applyFont="1" applyBorder="1" applyAlignment="1">
      <alignment horizontal="right"/>
    </xf>
    <xf numFmtId="43" fontId="2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167" fontId="3" fillId="0" borderId="0" xfId="0" applyNumberFormat="1" applyFont="1" applyAlignment="1">
      <alignment horizontal="center"/>
    </xf>
    <xf numFmtId="43" fontId="3" fillId="0" borderId="4" xfId="0" applyNumberFormat="1" applyFont="1" applyBorder="1" applyAlignment="1">
      <alignment horizontal="right"/>
    </xf>
    <xf numFmtId="166" fontId="25" fillId="0" borderId="0" xfId="0" applyNumberFormat="1" applyFont="1"/>
    <xf numFmtId="166" fontId="27" fillId="0" borderId="0" xfId="0" applyNumberFormat="1" applyFont="1"/>
    <xf numFmtId="2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right"/>
    </xf>
    <xf numFmtId="176" fontId="3" fillId="0" borderId="0" xfId="0" applyNumberFormat="1" applyFont="1"/>
    <xf numFmtId="165" fontId="2" fillId="0" borderId="0" xfId="0" applyNumberFormat="1" applyFont="1"/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29" fillId="0" borderId="0" xfId="0" applyFont="1"/>
    <xf numFmtId="0" fontId="7" fillId="0" borderId="0" xfId="0" applyFont="1"/>
    <xf numFmtId="0" fontId="16" fillId="0" borderId="0" xfId="0" applyFont="1" applyAlignment="1">
      <alignment horizontal="center"/>
    </xf>
    <xf numFmtId="43" fontId="16" fillId="0" borderId="0" xfId="0" applyNumberFormat="1" applyFont="1"/>
    <xf numFmtId="167" fontId="16" fillId="0" borderId="0" xfId="0" applyNumberFormat="1" applyFont="1"/>
    <xf numFmtId="166" fontId="16" fillId="0" borderId="0" xfId="0" applyNumberFormat="1" applyFont="1"/>
    <xf numFmtId="166" fontId="7" fillId="0" borderId="0" xfId="0" applyNumberFormat="1" applyFont="1"/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/>
    </xf>
    <xf numFmtId="167" fontId="7" fillId="0" borderId="0" xfId="0" applyNumberFormat="1" applyFont="1"/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166" fontId="28" fillId="0" borderId="0" xfId="0" applyNumberFormat="1" applyFont="1"/>
    <xf numFmtId="166" fontId="3" fillId="0" borderId="0" xfId="9" applyNumberFormat="1" applyFont="1"/>
    <xf numFmtId="166" fontId="15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 wrapText="1"/>
    </xf>
    <xf numFmtId="166" fontId="17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center"/>
    </xf>
    <xf numFmtId="166" fontId="3" fillId="0" borderId="5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43" fontId="3" fillId="0" borderId="5" xfId="1" applyFont="1" applyFill="1" applyBorder="1" applyAlignment="1">
      <alignment horizontal="center"/>
    </xf>
    <xf numFmtId="166" fontId="18" fillId="0" borderId="5" xfId="1" applyNumberFormat="1" applyFont="1" applyFill="1" applyBorder="1" applyAlignment="1">
      <alignment horizontal="center"/>
    </xf>
    <xf numFmtId="166" fontId="22" fillId="0" borderId="0" xfId="0" applyNumberFormat="1" applyFont="1" applyAlignment="1">
      <alignment horizontal="right"/>
    </xf>
    <xf numFmtId="43" fontId="18" fillId="0" borderId="5" xfId="1" applyFont="1" applyFill="1" applyBorder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6" fontId="18" fillId="0" borderId="0" xfId="0" applyNumberFormat="1" applyFont="1" applyAlignment="1">
      <alignment horizontal="center"/>
    </xf>
    <xf numFmtId="167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6" fontId="15" fillId="0" borderId="5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04300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T140"/>
  <sheetViews>
    <sheetView view="pageBreakPreview" topLeftCell="A96" zoomScaleNormal="100" zoomScaleSheetLayoutView="100" workbookViewId="0">
      <selection activeCell="D116" sqref="D116"/>
    </sheetView>
  </sheetViews>
  <sheetFormatPr defaultColWidth="9.140625" defaultRowHeight="18" x14ac:dyDescent="0.4"/>
  <cols>
    <col min="1" max="2" width="2.85546875" style="3" customWidth="1"/>
    <col min="3" max="3" width="33.85546875" style="3" customWidth="1"/>
    <col min="4" max="4" width="5.42578125" style="6" customWidth="1"/>
    <col min="5" max="5" width="0.85546875" style="6" customWidth="1"/>
    <col min="6" max="6" width="12.85546875" style="6" customWidth="1"/>
    <col min="7" max="7" width="0.855468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85546875" style="5" customWidth="1"/>
    <col min="12" max="12" width="13.5703125" style="5" customWidth="1"/>
    <col min="13" max="13" width="2.85546875" style="3" customWidth="1"/>
    <col min="14" max="14" width="15.85546875" style="3" hidden="1" customWidth="1"/>
    <col min="15" max="15" width="2.85546875" style="3" hidden="1" customWidth="1"/>
    <col min="16" max="16" width="13.85546875" style="3" hidden="1" customWidth="1"/>
    <col min="17" max="17" width="2.85546875" style="3" hidden="1" customWidth="1"/>
    <col min="18" max="18" width="14.5703125" style="3" hidden="1" customWidth="1"/>
    <col min="19" max="19" width="5" style="3" hidden="1" customWidth="1"/>
    <col min="20" max="20" width="0" style="3" hidden="1" customWidth="1"/>
    <col min="21" max="16384" width="9.140625" style="3"/>
  </cols>
  <sheetData>
    <row r="1" spans="1:13" hidden="1" x14ac:dyDescent="0.4"/>
    <row r="3" spans="1:13" x14ac:dyDescent="0.4">
      <c r="A3" s="225" t="s">
        <v>131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6"/>
    </row>
    <row r="4" spans="1:13" x14ac:dyDescent="0.4">
      <c r="A4" s="222" t="s">
        <v>238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</row>
    <row r="5" spans="1:13" s="26" customFormat="1" x14ac:dyDescent="0.4">
      <c r="A5" s="222" t="s">
        <v>355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</row>
    <row r="6" spans="1:13" x14ac:dyDescent="0.4">
      <c r="A6" s="13"/>
      <c r="B6" s="13"/>
      <c r="C6" s="13"/>
      <c r="F6" s="223" t="s">
        <v>132</v>
      </c>
      <c r="G6" s="223"/>
      <c r="H6" s="223"/>
      <c r="I6" s="223"/>
      <c r="J6" s="223"/>
      <c r="K6" s="223"/>
      <c r="L6" s="223"/>
    </row>
    <row r="7" spans="1:13" ht="18.75" x14ac:dyDescent="0.4">
      <c r="A7" s="9"/>
      <c r="B7" s="9"/>
      <c r="C7" s="9"/>
      <c r="F7" s="220" t="s">
        <v>204</v>
      </c>
      <c r="G7" s="220"/>
      <c r="H7" s="220"/>
      <c r="I7" s="184"/>
      <c r="J7" s="220" t="s">
        <v>205</v>
      </c>
      <c r="K7" s="220"/>
      <c r="L7" s="220"/>
    </row>
    <row r="8" spans="1:13" x14ac:dyDescent="0.4">
      <c r="A8" s="9"/>
      <c r="B8" s="9"/>
      <c r="C8" s="9"/>
      <c r="D8" s="185" t="s">
        <v>133</v>
      </c>
      <c r="F8" s="186" t="s">
        <v>357</v>
      </c>
      <c r="G8" s="187"/>
      <c r="H8" s="186" t="s">
        <v>336</v>
      </c>
      <c r="J8" s="188" t="str">
        <f>F8</f>
        <v>December 31, 2024</v>
      </c>
      <c r="K8" s="6"/>
      <c r="L8" s="188" t="str">
        <f>H8</f>
        <v>December 31, 2023</v>
      </c>
    </row>
    <row r="9" spans="1:13" ht="18" customHeight="1" x14ac:dyDescent="0.4">
      <c r="A9" s="224" t="s">
        <v>136</v>
      </c>
      <c r="B9" s="224"/>
      <c r="C9" s="224"/>
      <c r="D9" s="13"/>
      <c r="E9" s="13"/>
      <c r="F9" s="20"/>
      <c r="G9" s="20"/>
      <c r="H9" s="20"/>
      <c r="J9" s="3"/>
      <c r="K9" s="3"/>
      <c r="L9" s="3"/>
    </row>
    <row r="10" spans="1:13" x14ac:dyDescent="0.4">
      <c r="A10" s="9" t="s">
        <v>134</v>
      </c>
      <c r="B10" s="9"/>
      <c r="C10" s="9"/>
      <c r="D10" s="13"/>
      <c r="E10" s="13"/>
      <c r="F10" s="8"/>
      <c r="G10" s="8"/>
      <c r="H10" s="8"/>
      <c r="I10" s="9"/>
      <c r="J10" s="11"/>
      <c r="K10" s="11"/>
      <c r="L10" s="11"/>
    </row>
    <row r="11" spans="1:13" x14ac:dyDescent="0.4">
      <c r="A11" s="9"/>
      <c r="B11" s="9" t="s">
        <v>135</v>
      </c>
      <c r="C11" s="9"/>
      <c r="D11" s="13">
        <v>3</v>
      </c>
      <c r="E11" s="13"/>
      <c r="F11" s="158">
        <v>226065834.77000001</v>
      </c>
      <c r="G11" s="158"/>
      <c r="H11" s="158">
        <v>414056925.31999999</v>
      </c>
      <c r="I11" s="154"/>
      <c r="J11" s="14">
        <v>117400641.78</v>
      </c>
      <c r="K11" s="14"/>
      <c r="L11" s="14">
        <v>290505114.75999999</v>
      </c>
    </row>
    <row r="12" spans="1:13" x14ac:dyDescent="0.4">
      <c r="A12" s="9"/>
      <c r="B12" s="9" t="s">
        <v>213</v>
      </c>
      <c r="C12" s="9"/>
      <c r="D12" s="13"/>
      <c r="E12" s="13"/>
      <c r="F12" s="158"/>
      <c r="G12" s="158"/>
      <c r="H12" s="158"/>
      <c r="I12" s="154"/>
      <c r="J12" s="14"/>
      <c r="K12" s="14"/>
      <c r="L12" s="14"/>
    </row>
    <row r="13" spans="1:13" x14ac:dyDescent="0.4">
      <c r="A13" s="9"/>
      <c r="B13" s="9"/>
      <c r="C13" s="9" t="s">
        <v>188</v>
      </c>
      <c r="D13" s="13">
        <v>4</v>
      </c>
      <c r="E13" s="13"/>
      <c r="F13" s="158">
        <v>56525841.880000003</v>
      </c>
      <c r="G13" s="158"/>
      <c r="H13" s="158">
        <v>65612398.219999999</v>
      </c>
      <c r="I13" s="154"/>
      <c r="J13" s="14">
        <v>51861455.200000003</v>
      </c>
      <c r="K13" s="14"/>
      <c r="L13" s="14">
        <v>26010000</v>
      </c>
    </row>
    <row r="14" spans="1:13" x14ac:dyDescent="0.4">
      <c r="A14" s="9"/>
      <c r="B14" s="9"/>
      <c r="C14" s="9" t="s">
        <v>189</v>
      </c>
      <c r="D14" s="13">
        <v>2.2000000000000002</v>
      </c>
      <c r="E14" s="13"/>
      <c r="F14" s="158">
        <v>0</v>
      </c>
      <c r="G14" s="158"/>
      <c r="H14" s="158">
        <v>46824.480000000003</v>
      </c>
      <c r="I14" s="154"/>
      <c r="J14" s="14">
        <v>0</v>
      </c>
      <c r="K14" s="14"/>
      <c r="L14" s="14">
        <v>46824.480000000003</v>
      </c>
    </row>
    <row r="15" spans="1:13" x14ac:dyDescent="0.4">
      <c r="A15" s="9"/>
      <c r="B15" s="9" t="s">
        <v>250</v>
      </c>
      <c r="C15" s="9"/>
      <c r="D15" s="13"/>
      <c r="E15" s="13"/>
      <c r="F15" s="158"/>
      <c r="G15" s="158"/>
      <c r="H15" s="158"/>
      <c r="I15" s="154"/>
      <c r="J15" s="14"/>
      <c r="K15" s="14"/>
      <c r="L15" s="14"/>
    </row>
    <row r="16" spans="1:13" x14ac:dyDescent="0.4">
      <c r="A16" s="9"/>
      <c r="B16" s="9"/>
      <c r="C16" s="9" t="s">
        <v>188</v>
      </c>
      <c r="D16" s="13">
        <v>5</v>
      </c>
      <c r="E16" s="13"/>
      <c r="F16" s="158">
        <v>20783301.969999999</v>
      </c>
      <c r="G16" s="158"/>
      <c r="H16" s="158">
        <v>97235520.530000001</v>
      </c>
      <c r="I16" s="154"/>
      <c r="J16" s="14">
        <v>6423744.54</v>
      </c>
      <c r="K16" s="14"/>
      <c r="L16" s="14">
        <v>31575704.300000001</v>
      </c>
    </row>
    <row r="17" spans="1:12" x14ac:dyDescent="0.4">
      <c r="A17" s="9"/>
      <c r="B17" s="9"/>
      <c r="C17" s="9" t="s">
        <v>189</v>
      </c>
      <c r="D17" s="13">
        <v>2.2999999999999998</v>
      </c>
      <c r="E17" s="13"/>
      <c r="F17" s="158">
        <v>0</v>
      </c>
      <c r="G17" s="158"/>
      <c r="H17" s="158">
        <v>0</v>
      </c>
      <c r="I17" s="154"/>
      <c r="J17" s="14">
        <v>0</v>
      </c>
      <c r="K17" s="14"/>
      <c r="L17" s="14">
        <v>1632371.71</v>
      </c>
    </row>
    <row r="18" spans="1:12" x14ac:dyDescent="0.4">
      <c r="A18" s="9"/>
      <c r="B18" s="9" t="s">
        <v>377</v>
      </c>
      <c r="C18" s="9"/>
      <c r="D18" s="13">
        <v>6</v>
      </c>
      <c r="E18" s="13"/>
      <c r="F18" s="158">
        <v>688383177.6099999</v>
      </c>
      <c r="G18" s="158"/>
      <c r="H18" s="158">
        <v>859324205.49000001</v>
      </c>
      <c r="I18" s="154"/>
      <c r="J18" s="14">
        <v>464301.68</v>
      </c>
      <c r="K18" s="14"/>
      <c r="L18" s="14">
        <v>321589.84999999998</v>
      </c>
    </row>
    <row r="19" spans="1:12" x14ac:dyDescent="0.4">
      <c r="A19" s="9"/>
      <c r="B19" s="9" t="s">
        <v>201</v>
      </c>
      <c r="C19" s="9"/>
      <c r="D19" s="13"/>
      <c r="E19" s="13"/>
      <c r="F19" s="158"/>
      <c r="G19" s="158"/>
      <c r="H19" s="158"/>
      <c r="I19" s="14"/>
      <c r="J19" s="14"/>
      <c r="K19" s="14"/>
      <c r="L19" s="14"/>
    </row>
    <row r="20" spans="1:12" x14ac:dyDescent="0.4">
      <c r="A20" s="9"/>
      <c r="B20" s="9"/>
      <c r="C20" s="9" t="s">
        <v>188</v>
      </c>
      <c r="D20" s="13">
        <v>7</v>
      </c>
      <c r="E20" s="13"/>
      <c r="F20" s="158">
        <v>459000000</v>
      </c>
      <c r="G20" s="158"/>
      <c r="H20" s="158">
        <v>425000000</v>
      </c>
      <c r="I20" s="14"/>
      <c r="J20" s="158">
        <v>459000000</v>
      </c>
      <c r="K20" s="158"/>
      <c r="L20" s="158">
        <v>425000000</v>
      </c>
    </row>
    <row r="21" spans="1:12" x14ac:dyDescent="0.4">
      <c r="A21" s="9"/>
      <c r="B21" s="9"/>
      <c r="C21" s="9" t="s">
        <v>189</v>
      </c>
      <c r="D21" s="13">
        <v>2.4</v>
      </c>
      <c r="E21" s="13"/>
      <c r="F21" s="158">
        <v>0</v>
      </c>
      <c r="G21" s="158"/>
      <c r="H21" s="158">
        <v>0</v>
      </c>
      <c r="I21" s="14"/>
      <c r="J21" s="189">
        <v>1703568144.76</v>
      </c>
      <c r="K21" s="189"/>
      <c r="L21" s="189">
        <v>1608007642.0799999</v>
      </c>
    </row>
    <row r="22" spans="1:12" x14ac:dyDescent="0.4">
      <c r="A22" s="9"/>
      <c r="B22" s="9" t="s">
        <v>319</v>
      </c>
      <c r="C22" s="9"/>
      <c r="D22" s="13">
        <v>8</v>
      </c>
      <c r="E22" s="13"/>
      <c r="F22" s="158">
        <v>788283018.52999997</v>
      </c>
      <c r="G22" s="158"/>
      <c r="H22" s="158">
        <v>774831673.69000006</v>
      </c>
      <c r="I22" s="154"/>
      <c r="J22" s="14">
        <v>96984577.430000007</v>
      </c>
      <c r="K22" s="14"/>
      <c r="L22" s="14">
        <v>91555746.549999997</v>
      </c>
    </row>
    <row r="23" spans="1:12" x14ac:dyDescent="0.4">
      <c r="A23" s="9"/>
      <c r="B23" s="9" t="s">
        <v>137</v>
      </c>
      <c r="C23" s="9"/>
      <c r="D23" s="13"/>
      <c r="E23" s="13"/>
      <c r="F23" s="158"/>
      <c r="G23" s="158"/>
      <c r="H23" s="158"/>
      <c r="I23" s="154"/>
      <c r="J23" s="14"/>
      <c r="K23" s="14"/>
      <c r="L23" s="14"/>
    </row>
    <row r="24" spans="1:12" x14ac:dyDescent="0.4">
      <c r="A24" s="9"/>
      <c r="B24" s="9"/>
      <c r="C24" s="9" t="s">
        <v>246</v>
      </c>
      <c r="D24" s="13"/>
      <c r="E24" s="13"/>
      <c r="F24" s="158">
        <v>8274553.4900000002</v>
      </c>
      <c r="G24" s="158"/>
      <c r="H24" s="158">
        <v>6571771.6500000004</v>
      </c>
      <c r="I24" s="154"/>
      <c r="J24" s="14">
        <v>4921168.82</v>
      </c>
      <c r="K24" s="14"/>
      <c r="L24" s="14">
        <v>1258988.22</v>
      </c>
    </row>
    <row r="25" spans="1:12" x14ac:dyDescent="0.4">
      <c r="A25" s="9"/>
      <c r="B25" s="9"/>
      <c r="C25" s="9" t="s">
        <v>342</v>
      </c>
      <c r="D25" s="13"/>
      <c r="E25" s="13"/>
      <c r="F25" s="158">
        <v>11974120.939999999</v>
      </c>
      <c r="G25" s="158"/>
      <c r="H25" s="158">
        <v>0</v>
      </c>
      <c r="I25" s="154"/>
      <c r="J25" s="14">
        <v>11974120.939999999</v>
      </c>
      <c r="K25" s="14"/>
      <c r="L25" s="14">
        <v>0</v>
      </c>
    </row>
    <row r="26" spans="1:12" x14ac:dyDescent="0.4">
      <c r="A26" s="9"/>
      <c r="B26" s="9"/>
      <c r="C26" s="9" t="s">
        <v>141</v>
      </c>
      <c r="D26" s="13"/>
      <c r="E26" s="13"/>
      <c r="F26" s="189">
        <v>1476972.35</v>
      </c>
      <c r="G26" s="189"/>
      <c r="H26" s="189">
        <v>707871.65</v>
      </c>
      <c r="I26" s="154"/>
      <c r="J26" s="14">
        <v>444644.15</v>
      </c>
      <c r="K26" s="14"/>
      <c r="L26" s="14">
        <v>0</v>
      </c>
    </row>
    <row r="27" spans="1:12" x14ac:dyDescent="0.4">
      <c r="A27" s="9"/>
      <c r="B27" s="9"/>
      <c r="C27" s="9" t="s">
        <v>143</v>
      </c>
      <c r="D27" s="13"/>
      <c r="E27" s="13"/>
      <c r="F27" s="157">
        <f>SUM(F11:F26)</f>
        <v>2260766821.54</v>
      </c>
      <c r="G27" s="21"/>
      <c r="H27" s="157">
        <f>SUM(H11:H26)</f>
        <v>2643387191.0300002</v>
      </c>
      <c r="I27" s="154"/>
      <c r="J27" s="157">
        <f>SUM(J11:J26)</f>
        <v>2453042799.3000002</v>
      </c>
      <c r="K27" s="21"/>
      <c r="L27" s="157">
        <f>SUM(L11:L26)</f>
        <v>2475913981.9499998</v>
      </c>
    </row>
    <row r="28" spans="1:12" ht="9" customHeight="1" x14ac:dyDescent="0.4">
      <c r="A28" s="9"/>
      <c r="B28" s="9"/>
      <c r="C28" s="9"/>
      <c r="D28" s="13"/>
      <c r="E28" s="13"/>
      <c r="F28" s="189"/>
      <c r="G28" s="189"/>
      <c r="H28" s="189"/>
      <c r="I28" s="154"/>
      <c r="J28" s="14"/>
      <c r="K28" s="14"/>
      <c r="L28" s="14"/>
    </row>
    <row r="29" spans="1:12" x14ac:dyDescent="0.4">
      <c r="A29" s="9" t="s">
        <v>139</v>
      </c>
      <c r="B29" s="9"/>
      <c r="C29" s="9"/>
      <c r="D29" s="13"/>
      <c r="E29" s="13"/>
      <c r="F29" s="189"/>
      <c r="G29" s="189"/>
      <c r="H29" s="189"/>
      <c r="I29" s="154"/>
      <c r="J29" s="14"/>
      <c r="K29" s="14"/>
      <c r="L29" s="14"/>
    </row>
    <row r="30" spans="1:12" hidden="1" x14ac:dyDescent="0.4">
      <c r="A30" s="9"/>
      <c r="B30" s="9" t="s">
        <v>209</v>
      </c>
      <c r="C30" s="9"/>
      <c r="D30" s="13"/>
      <c r="E30" s="13"/>
      <c r="F30" s="189"/>
      <c r="G30" s="189"/>
      <c r="H30" s="189"/>
      <c r="I30" s="154"/>
      <c r="J30" s="189"/>
      <c r="K30" s="189"/>
      <c r="L30" s="189"/>
    </row>
    <row r="31" spans="1:12" x14ac:dyDescent="0.4">
      <c r="A31" s="9"/>
      <c r="B31" s="190" t="s">
        <v>190</v>
      </c>
      <c r="C31" s="9"/>
      <c r="D31" s="13">
        <v>9</v>
      </c>
      <c r="E31" s="13"/>
      <c r="F31" s="158">
        <v>0</v>
      </c>
      <c r="G31" s="158"/>
      <c r="H31" s="158">
        <v>0</v>
      </c>
      <c r="I31" s="154"/>
      <c r="J31" s="14">
        <v>261044600</v>
      </c>
      <c r="K31" s="14"/>
      <c r="L31" s="14">
        <v>261044600</v>
      </c>
    </row>
    <row r="32" spans="1:12" x14ac:dyDescent="0.4">
      <c r="A32" s="9"/>
      <c r="B32" s="190" t="s">
        <v>383</v>
      </c>
      <c r="C32" s="9"/>
      <c r="D32" s="13">
        <v>10</v>
      </c>
      <c r="E32" s="13"/>
      <c r="F32" s="158">
        <v>166821800.71000001</v>
      </c>
      <c r="G32" s="158"/>
      <c r="H32" s="158">
        <v>76785727</v>
      </c>
      <c r="I32" s="154"/>
      <c r="J32" s="14">
        <v>166821800.71000001</v>
      </c>
      <c r="K32" s="14"/>
      <c r="L32" s="14">
        <v>76785727</v>
      </c>
    </row>
    <row r="33" spans="1:12" x14ac:dyDescent="0.4">
      <c r="A33" s="9"/>
      <c r="B33" s="190" t="s">
        <v>320</v>
      </c>
      <c r="C33" s="9"/>
      <c r="D33" s="13">
        <v>11</v>
      </c>
      <c r="E33" s="13"/>
      <c r="F33" s="158">
        <v>285000576.45999998</v>
      </c>
      <c r="G33" s="158"/>
      <c r="H33" s="158">
        <v>285000580.37</v>
      </c>
      <c r="I33" s="154"/>
      <c r="J33" s="14">
        <v>285000000</v>
      </c>
      <c r="K33" s="14"/>
      <c r="L33" s="14">
        <v>285000000</v>
      </c>
    </row>
    <row r="34" spans="1:12" x14ac:dyDescent="0.4">
      <c r="A34" s="9"/>
      <c r="B34" s="190" t="s">
        <v>300</v>
      </c>
      <c r="C34" s="9"/>
      <c r="D34" s="13">
        <v>12</v>
      </c>
      <c r="E34" s="13"/>
      <c r="F34" s="158">
        <v>391500000</v>
      </c>
      <c r="G34" s="158"/>
      <c r="H34" s="158">
        <v>391500000</v>
      </c>
      <c r="I34" s="154"/>
      <c r="J34" s="14">
        <v>391500000</v>
      </c>
      <c r="K34" s="14"/>
      <c r="L34" s="14">
        <v>391500000</v>
      </c>
    </row>
    <row r="35" spans="1:12" x14ac:dyDescent="0.4">
      <c r="A35" s="9"/>
      <c r="B35" s="190" t="s">
        <v>289</v>
      </c>
      <c r="C35" s="9"/>
      <c r="D35" s="13">
        <v>13</v>
      </c>
      <c r="E35" s="13"/>
      <c r="F35" s="189">
        <v>4729800.18</v>
      </c>
      <c r="G35" s="189"/>
      <c r="H35" s="189">
        <v>5169977.8499999996</v>
      </c>
      <c r="I35" s="154"/>
      <c r="J35" s="14">
        <v>4729800.18</v>
      </c>
      <c r="K35" s="14"/>
      <c r="L35" s="14">
        <v>5169977.8499999996</v>
      </c>
    </row>
    <row r="36" spans="1:12" x14ac:dyDescent="0.4">
      <c r="A36" s="9"/>
      <c r="B36" s="190" t="s">
        <v>321</v>
      </c>
      <c r="C36" s="9"/>
      <c r="D36" s="13">
        <v>14</v>
      </c>
      <c r="E36" s="13"/>
      <c r="F36" s="189">
        <v>22544459.469999999</v>
      </c>
      <c r="G36" s="189"/>
      <c r="H36" s="189">
        <v>32867401.879999999</v>
      </c>
      <c r="I36" s="154"/>
      <c r="J36" s="14">
        <v>22530301.52</v>
      </c>
      <c r="K36" s="14"/>
      <c r="L36" s="14">
        <v>28295052.149999999</v>
      </c>
    </row>
    <row r="37" spans="1:12" x14ac:dyDescent="0.4">
      <c r="A37" s="9"/>
      <c r="B37" s="190" t="s">
        <v>379</v>
      </c>
      <c r="C37" s="9"/>
      <c r="D37" s="13">
        <v>15</v>
      </c>
      <c r="E37" s="13"/>
      <c r="F37" s="189">
        <v>214775309.44999999</v>
      </c>
      <c r="G37" s="189"/>
      <c r="H37" s="189">
        <v>0</v>
      </c>
      <c r="I37" s="154"/>
      <c r="J37" s="14">
        <v>0</v>
      </c>
      <c r="K37" s="14"/>
      <c r="L37" s="14">
        <v>0</v>
      </c>
    </row>
    <row r="38" spans="1:12" x14ac:dyDescent="0.4">
      <c r="A38" s="9"/>
      <c r="B38" s="190" t="s">
        <v>331</v>
      </c>
      <c r="C38" s="9"/>
      <c r="D38" s="13">
        <v>16</v>
      </c>
      <c r="E38" s="13"/>
      <c r="F38" s="189">
        <v>460219.72</v>
      </c>
      <c r="G38" s="189"/>
      <c r="H38" s="189">
        <v>1254749.9099999999</v>
      </c>
      <c r="I38" s="154"/>
      <c r="J38" s="14">
        <v>460219.72</v>
      </c>
      <c r="K38" s="14"/>
      <c r="L38" s="14">
        <v>1254749.9099999999</v>
      </c>
    </row>
    <row r="39" spans="1:12" x14ac:dyDescent="0.4">
      <c r="A39" s="9"/>
      <c r="B39" s="190" t="s">
        <v>353</v>
      </c>
      <c r="C39" s="9"/>
      <c r="D39" s="13">
        <v>17.100000000000001</v>
      </c>
      <c r="E39" s="13"/>
      <c r="F39" s="189">
        <v>81549776.189999998</v>
      </c>
      <c r="G39" s="189"/>
      <c r="H39" s="189">
        <v>17578939.789999999</v>
      </c>
      <c r="I39" s="154"/>
      <c r="J39" s="14">
        <v>0</v>
      </c>
      <c r="K39" s="14"/>
      <c r="L39" s="14">
        <v>0</v>
      </c>
    </row>
    <row r="40" spans="1:12" x14ac:dyDescent="0.4">
      <c r="A40" s="9"/>
      <c r="B40" s="190" t="s">
        <v>378</v>
      </c>
      <c r="C40" s="9"/>
      <c r="D40" s="13">
        <v>17.2</v>
      </c>
      <c r="E40" s="13"/>
      <c r="F40" s="189">
        <v>444038620.85000002</v>
      </c>
      <c r="G40" s="189"/>
      <c r="H40" s="189">
        <v>0</v>
      </c>
      <c r="I40" s="154"/>
      <c r="J40" s="14">
        <v>0</v>
      </c>
      <c r="K40" s="14"/>
      <c r="L40" s="14">
        <v>0</v>
      </c>
    </row>
    <row r="41" spans="1:12" x14ac:dyDescent="0.4">
      <c r="A41" s="9"/>
      <c r="B41" s="190" t="s">
        <v>262</v>
      </c>
      <c r="C41" s="9"/>
      <c r="D41" s="13">
        <v>23.3</v>
      </c>
      <c r="E41" s="13"/>
      <c r="F41" s="189">
        <v>128854377.94</v>
      </c>
      <c r="G41" s="189"/>
      <c r="H41" s="189">
        <v>94468075.290000007</v>
      </c>
      <c r="I41" s="154"/>
      <c r="J41" s="14">
        <v>115478470.51000001</v>
      </c>
      <c r="K41" s="14"/>
      <c r="L41" s="14">
        <v>83196025.150000006</v>
      </c>
    </row>
    <row r="42" spans="1:12" x14ac:dyDescent="0.4">
      <c r="A42" s="9"/>
      <c r="B42" s="190" t="s">
        <v>140</v>
      </c>
      <c r="C42" s="190"/>
      <c r="D42" s="13"/>
      <c r="E42" s="13"/>
      <c r="F42" s="189">
        <v>428610</v>
      </c>
      <c r="G42" s="189"/>
      <c r="H42" s="189">
        <v>428610</v>
      </c>
      <c r="I42" s="154"/>
      <c r="J42" s="14">
        <v>428610</v>
      </c>
      <c r="K42" s="14"/>
      <c r="L42" s="14">
        <v>428610</v>
      </c>
    </row>
    <row r="43" spans="1:12" x14ac:dyDescent="0.4">
      <c r="A43" s="9"/>
      <c r="B43" s="9"/>
      <c r="C43" s="190" t="s">
        <v>142</v>
      </c>
      <c r="D43" s="13"/>
      <c r="E43" s="13"/>
      <c r="F43" s="157">
        <f>SUM(F30:F42)</f>
        <v>1740703550.9700003</v>
      </c>
      <c r="G43" s="21"/>
      <c r="H43" s="157">
        <f>SUM(H30:H42)</f>
        <v>905054062.08999991</v>
      </c>
      <c r="I43" s="154"/>
      <c r="J43" s="157">
        <f>SUM(J30:J42)</f>
        <v>1247993802.6400001</v>
      </c>
      <c r="K43" s="21"/>
      <c r="L43" s="157">
        <f>SUM(L30:L42)</f>
        <v>1132674742.0599999</v>
      </c>
    </row>
    <row r="44" spans="1:12" ht="18.75" thickBot="1" x14ac:dyDescent="0.45">
      <c r="A44" s="190" t="s">
        <v>144</v>
      </c>
      <c r="B44" s="9"/>
      <c r="C44" s="9"/>
      <c r="D44" s="13"/>
      <c r="E44" s="13"/>
      <c r="F44" s="159">
        <f>+F43+F27</f>
        <v>4001470372.5100002</v>
      </c>
      <c r="G44" s="21"/>
      <c r="H44" s="159">
        <f>+H43+H27</f>
        <v>3548441253.1199999</v>
      </c>
      <c r="I44" s="154"/>
      <c r="J44" s="159">
        <f>+J43+J27</f>
        <v>3701036601.9400005</v>
      </c>
      <c r="K44" s="21"/>
      <c r="L44" s="159">
        <f>+L43+L27</f>
        <v>3608588724.0099998</v>
      </c>
    </row>
    <row r="45" spans="1:12" ht="9" customHeight="1" thickTop="1" x14ac:dyDescent="0.4">
      <c r="A45" s="9"/>
      <c r="B45" s="9"/>
      <c r="C45" s="9"/>
      <c r="D45" s="13"/>
      <c r="E45" s="13"/>
      <c r="F45" s="164"/>
      <c r="G45" s="164"/>
      <c r="H45" s="164"/>
      <c r="I45" s="154"/>
      <c r="J45" s="21"/>
      <c r="K45" s="21"/>
      <c r="L45" s="21"/>
    </row>
    <row r="46" spans="1:12" x14ac:dyDescent="0.4">
      <c r="A46" s="15" t="s">
        <v>271</v>
      </c>
      <c r="B46" s="9"/>
      <c r="C46" s="9"/>
      <c r="D46" s="13"/>
      <c r="E46" s="13"/>
      <c r="F46" s="13"/>
      <c r="G46" s="13"/>
      <c r="H46" s="13"/>
      <c r="I46" s="9"/>
      <c r="J46" s="17"/>
      <c r="K46" s="17"/>
      <c r="L46" s="17"/>
    </row>
    <row r="47" spans="1:12" x14ac:dyDescent="0.4">
      <c r="B47" s="9"/>
      <c r="C47" s="9"/>
      <c r="D47" s="13"/>
      <c r="E47" s="13"/>
      <c r="F47" s="13"/>
      <c r="G47" s="13"/>
      <c r="H47" s="13"/>
      <c r="I47" s="9"/>
      <c r="J47" s="11"/>
      <c r="K47" s="11"/>
      <c r="L47" s="11"/>
    </row>
    <row r="48" spans="1:12" ht="18.75" customHeight="1" x14ac:dyDescent="0.4">
      <c r="A48" s="9"/>
      <c r="B48" s="9"/>
      <c r="C48" s="9"/>
      <c r="D48" s="13"/>
      <c r="E48" s="13"/>
      <c r="F48" s="13"/>
      <c r="G48" s="13"/>
      <c r="H48" s="13"/>
      <c r="I48" s="9"/>
      <c r="J48" s="11"/>
      <c r="K48" s="11"/>
      <c r="L48" s="11"/>
    </row>
    <row r="49" spans="1:12" x14ac:dyDescent="0.4">
      <c r="A49" s="13"/>
      <c r="B49" s="24" t="s">
        <v>145</v>
      </c>
      <c r="C49" s="13"/>
      <c r="D49" s="24"/>
      <c r="E49" s="13"/>
      <c r="F49" s="24" t="s">
        <v>145</v>
      </c>
      <c r="G49" s="24"/>
      <c r="H49" s="13"/>
      <c r="I49" s="13"/>
      <c r="J49" s="13"/>
      <c r="K49" s="13"/>
      <c r="L49" s="13"/>
    </row>
    <row r="50" spans="1:12" ht="9.75" customHeight="1" x14ac:dyDescent="0.4">
      <c r="A50" s="221"/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</row>
    <row r="51" spans="1:12" x14ac:dyDescent="0.4">
      <c r="B51" s="24"/>
      <c r="C51" s="13"/>
      <c r="D51" s="24"/>
      <c r="E51" s="24"/>
      <c r="F51" s="24"/>
      <c r="G51" s="24"/>
      <c r="H51" s="13"/>
      <c r="I51" s="24"/>
      <c r="J51" s="24"/>
      <c r="K51" s="24"/>
      <c r="L51" s="24"/>
    </row>
    <row r="52" spans="1:12" x14ac:dyDescent="0.4">
      <c r="A52" s="24"/>
      <c r="B52" s="25"/>
      <c r="C52" s="13"/>
      <c r="D52" s="13"/>
      <c r="E52" s="13"/>
      <c r="F52" s="13"/>
      <c r="G52" s="13"/>
      <c r="H52" s="13"/>
      <c r="I52" s="13"/>
      <c r="J52" s="13"/>
      <c r="K52" s="13"/>
      <c r="L52" s="11"/>
    </row>
    <row r="53" spans="1:12" x14ac:dyDescent="0.4">
      <c r="A53" s="222" t="s">
        <v>131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2"/>
    </row>
    <row r="54" spans="1:12" x14ac:dyDescent="0.4">
      <c r="A54" s="222" t="s">
        <v>238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2"/>
    </row>
    <row r="55" spans="1:12" s="26" customFormat="1" x14ac:dyDescent="0.4">
      <c r="A55" s="222" t="str">
        <f>+A5</f>
        <v>AS AT DECEMBER 31, 2024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</row>
    <row r="56" spans="1:12" ht="18.75" customHeight="1" x14ac:dyDescent="0.4">
      <c r="A56" s="9"/>
      <c r="B56" s="9"/>
      <c r="C56" s="9"/>
      <c r="F56" s="223" t="s">
        <v>132</v>
      </c>
      <c r="G56" s="223"/>
      <c r="H56" s="223"/>
      <c r="I56" s="223"/>
      <c r="J56" s="223"/>
      <c r="K56" s="223"/>
      <c r="L56" s="223"/>
    </row>
    <row r="57" spans="1:12" ht="18.75" customHeight="1" x14ac:dyDescent="0.4">
      <c r="A57" s="9"/>
      <c r="B57" s="9"/>
      <c r="C57" s="9"/>
      <c r="F57" s="220" t="s">
        <v>204</v>
      </c>
      <c r="G57" s="220"/>
      <c r="H57" s="220"/>
      <c r="I57" s="184"/>
      <c r="J57" s="220" t="s">
        <v>205</v>
      </c>
      <c r="K57" s="220"/>
      <c r="L57" s="220"/>
    </row>
    <row r="58" spans="1:12" x14ac:dyDescent="0.4">
      <c r="A58" s="9"/>
      <c r="B58" s="9"/>
      <c r="C58" s="9"/>
      <c r="D58" s="185" t="s">
        <v>133</v>
      </c>
      <c r="F58" s="188" t="str">
        <f>F8</f>
        <v>December 31, 2024</v>
      </c>
      <c r="H58" s="188" t="str">
        <f>H8</f>
        <v>December 31, 2023</v>
      </c>
      <c r="J58" s="188" t="str">
        <f>J8</f>
        <v>December 31, 2024</v>
      </c>
      <c r="K58" s="6"/>
      <c r="L58" s="188" t="str">
        <f>L8</f>
        <v>December 31, 2023</v>
      </c>
    </row>
    <row r="59" spans="1:12" s="35" customFormat="1" ht="18" customHeight="1" x14ac:dyDescent="0.4">
      <c r="A59" s="6"/>
      <c r="B59" s="6"/>
      <c r="C59" s="6"/>
      <c r="D59" s="6"/>
      <c r="E59" s="6"/>
      <c r="F59" s="20"/>
      <c r="G59" s="20"/>
      <c r="H59" s="20"/>
      <c r="I59" s="9"/>
      <c r="J59" s="20"/>
      <c r="K59" s="20"/>
      <c r="L59" s="20"/>
    </row>
    <row r="60" spans="1:12" ht="18" customHeight="1" x14ac:dyDescent="0.4">
      <c r="A60" s="224" t="s">
        <v>146</v>
      </c>
      <c r="B60" s="224"/>
      <c r="C60" s="224"/>
      <c r="D60" s="13"/>
      <c r="E60" s="13"/>
      <c r="F60" s="27"/>
      <c r="G60" s="27"/>
      <c r="H60" s="27"/>
      <c r="I60" s="9"/>
      <c r="J60" s="27"/>
      <c r="K60" s="27"/>
      <c r="L60" s="27"/>
    </row>
    <row r="61" spans="1:12" x14ac:dyDescent="0.4">
      <c r="A61" s="190" t="s">
        <v>147</v>
      </c>
      <c r="B61" s="9"/>
      <c r="C61" s="9"/>
      <c r="D61" s="13"/>
      <c r="E61" s="13"/>
      <c r="F61" s="10"/>
      <c r="G61" s="10"/>
      <c r="H61" s="10"/>
      <c r="I61" s="9"/>
      <c r="J61" s="11"/>
      <c r="K61" s="11"/>
      <c r="L61" s="11"/>
    </row>
    <row r="62" spans="1:12" x14ac:dyDescent="0.4">
      <c r="A62" s="9"/>
      <c r="B62" s="9" t="s">
        <v>301</v>
      </c>
      <c r="C62" s="9"/>
      <c r="D62" s="13">
        <v>18</v>
      </c>
      <c r="E62" s="13"/>
      <c r="F62" s="158">
        <v>220000000</v>
      </c>
      <c r="G62" s="10"/>
      <c r="H62" s="158">
        <v>500000000</v>
      </c>
      <c r="I62" s="9"/>
      <c r="J62" s="14">
        <v>220000000</v>
      </c>
      <c r="K62" s="11"/>
      <c r="L62" s="14">
        <v>500000000</v>
      </c>
    </row>
    <row r="63" spans="1:12" x14ac:dyDescent="0.4">
      <c r="A63" s="9"/>
      <c r="B63" s="9" t="s">
        <v>263</v>
      </c>
      <c r="C63" s="9"/>
      <c r="D63" s="13"/>
      <c r="E63" s="13"/>
      <c r="F63" s="12"/>
      <c r="G63" s="12"/>
      <c r="H63" s="12"/>
      <c r="I63" s="18"/>
      <c r="J63" s="11"/>
      <c r="K63" s="11"/>
      <c r="L63" s="11"/>
    </row>
    <row r="64" spans="1:12" x14ac:dyDescent="0.4">
      <c r="A64" s="9"/>
      <c r="B64" s="9"/>
      <c r="C64" s="9" t="s">
        <v>188</v>
      </c>
      <c r="D64" s="13"/>
      <c r="E64" s="13"/>
      <c r="F64" s="158">
        <v>0</v>
      </c>
      <c r="G64" s="158"/>
      <c r="H64" s="158">
        <v>0</v>
      </c>
      <c r="I64" s="154"/>
      <c r="J64" s="14">
        <v>0</v>
      </c>
      <c r="K64" s="14"/>
      <c r="L64" s="14">
        <v>0</v>
      </c>
    </row>
    <row r="65" spans="1:14" x14ac:dyDescent="0.4">
      <c r="A65" s="9"/>
      <c r="B65" s="9"/>
      <c r="C65" s="9" t="s">
        <v>330</v>
      </c>
      <c r="D65" s="13">
        <v>2.5</v>
      </c>
      <c r="E65" s="13"/>
      <c r="F65" s="158">
        <v>0</v>
      </c>
      <c r="G65" s="158"/>
      <c r="H65" s="158">
        <v>0</v>
      </c>
      <c r="I65" s="154"/>
      <c r="J65" s="14">
        <v>0</v>
      </c>
      <c r="K65" s="14"/>
      <c r="L65" s="14">
        <v>78725230.049999997</v>
      </c>
    </row>
    <row r="66" spans="1:14" x14ac:dyDescent="0.4">
      <c r="A66" s="9"/>
      <c r="B66" s="9" t="s">
        <v>322</v>
      </c>
      <c r="C66" s="9"/>
      <c r="D66" s="3"/>
      <c r="E66" s="3"/>
      <c r="F66" s="3"/>
      <c r="G66" s="3"/>
      <c r="H66" s="3"/>
      <c r="J66" s="3"/>
      <c r="K66" s="3"/>
      <c r="L66" s="3"/>
    </row>
    <row r="67" spans="1:14" x14ac:dyDescent="0.4">
      <c r="A67" s="9"/>
      <c r="B67" s="9"/>
      <c r="C67" s="9" t="s">
        <v>188</v>
      </c>
      <c r="D67" s="6">
        <v>19</v>
      </c>
      <c r="E67" s="13"/>
      <c r="F67" s="158">
        <v>41045685.57</v>
      </c>
      <c r="G67" s="158"/>
      <c r="H67" s="158">
        <v>57276548.380000003</v>
      </c>
      <c r="I67" s="154"/>
      <c r="J67" s="14">
        <v>39327409.770000003</v>
      </c>
      <c r="K67" s="14"/>
      <c r="L67" s="14">
        <v>56510221.539999999</v>
      </c>
    </row>
    <row r="68" spans="1:14" x14ac:dyDescent="0.4">
      <c r="A68" s="9"/>
      <c r="B68" s="9"/>
      <c r="C68" s="9" t="s">
        <v>330</v>
      </c>
      <c r="D68" s="6">
        <v>2.6</v>
      </c>
      <c r="E68" s="13"/>
      <c r="F68" s="158">
        <v>0</v>
      </c>
      <c r="G68" s="158"/>
      <c r="H68" s="158">
        <v>0</v>
      </c>
      <c r="I68" s="154"/>
      <c r="J68" s="14">
        <v>1203996.25</v>
      </c>
      <c r="K68" s="14"/>
      <c r="L68" s="14">
        <v>0</v>
      </c>
    </row>
    <row r="69" spans="1:14" x14ac:dyDescent="0.4">
      <c r="A69" s="9"/>
      <c r="B69" s="9" t="s">
        <v>201</v>
      </c>
      <c r="E69" s="13"/>
      <c r="F69" s="158"/>
      <c r="G69" s="158"/>
      <c r="H69" s="158"/>
      <c r="I69" s="154"/>
      <c r="J69" s="14"/>
      <c r="K69" s="14"/>
      <c r="L69" s="14"/>
    </row>
    <row r="70" spans="1:14" x14ac:dyDescent="0.4">
      <c r="A70" s="9"/>
      <c r="B70" s="9"/>
      <c r="C70" s="9" t="s">
        <v>330</v>
      </c>
      <c r="D70" s="6">
        <v>2.7</v>
      </c>
      <c r="E70" s="13"/>
      <c r="F70" s="158">
        <v>0</v>
      </c>
      <c r="G70" s="158"/>
      <c r="H70" s="158">
        <v>0</v>
      </c>
      <c r="I70" s="154"/>
      <c r="J70" s="14">
        <v>6000000</v>
      </c>
      <c r="K70" s="14"/>
      <c r="L70" s="14">
        <v>15000000</v>
      </c>
    </row>
    <row r="71" spans="1:14" x14ac:dyDescent="0.4">
      <c r="A71" s="9"/>
      <c r="B71" s="9" t="s">
        <v>149</v>
      </c>
      <c r="D71" s="13"/>
      <c r="E71" s="13"/>
      <c r="F71" s="158">
        <v>0</v>
      </c>
      <c r="G71" s="158"/>
      <c r="H71" s="158">
        <v>11556218.140000001</v>
      </c>
      <c r="I71" s="154"/>
      <c r="J71" s="158">
        <v>0</v>
      </c>
      <c r="K71" s="158"/>
      <c r="L71" s="158">
        <v>11556218.140000001</v>
      </c>
    </row>
    <row r="72" spans="1:14" x14ac:dyDescent="0.4">
      <c r="A72" s="9"/>
      <c r="B72" s="9" t="s">
        <v>332</v>
      </c>
      <c r="D72" s="13">
        <v>20</v>
      </c>
      <c r="E72" s="13"/>
      <c r="F72" s="158">
        <v>474599.76</v>
      </c>
      <c r="G72" s="158"/>
      <c r="H72" s="158">
        <v>800022.98</v>
      </c>
      <c r="I72" s="154"/>
      <c r="J72" s="158">
        <v>474599.76</v>
      </c>
      <c r="K72" s="158"/>
      <c r="L72" s="158">
        <v>800022.98</v>
      </c>
    </row>
    <row r="73" spans="1:14" x14ac:dyDescent="0.4">
      <c r="A73" s="9"/>
      <c r="B73" s="9" t="s">
        <v>148</v>
      </c>
      <c r="C73" s="9"/>
      <c r="D73" s="13"/>
      <c r="E73" s="13"/>
      <c r="F73" s="158"/>
      <c r="G73" s="158"/>
      <c r="H73" s="158"/>
      <c r="I73" s="154"/>
      <c r="J73" s="158"/>
      <c r="K73" s="158"/>
      <c r="L73" s="158"/>
    </row>
    <row r="74" spans="1:14" x14ac:dyDescent="0.4">
      <c r="A74" s="9"/>
      <c r="B74" s="9"/>
      <c r="C74" s="9" t="s">
        <v>210</v>
      </c>
      <c r="D74" s="13"/>
      <c r="E74" s="13"/>
      <c r="F74" s="158">
        <v>3392805.48</v>
      </c>
      <c r="G74" s="158"/>
      <c r="H74" s="158">
        <v>2929011.21</v>
      </c>
      <c r="I74" s="189"/>
      <c r="J74" s="189">
        <v>3392805.48</v>
      </c>
      <c r="K74" s="189"/>
      <c r="L74" s="189">
        <v>1703996.16</v>
      </c>
    </row>
    <row r="75" spans="1:14" x14ac:dyDescent="0.4">
      <c r="A75" s="9"/>
      <c r="B75" s="9"/>
      <c r="C75" s="9" t="s">
        <v>138</v>
      </c>
      <c r="D75" s="13"/>
      <c r="E75" s="13"/>
      <c r="F75" s="158">
        <v>1304910.02</v>
      </c>
      <c r="G75" s="158"/>
      <c r="H75" s="158">
        <v>3773340.6</v>
      </c>
      <c r="I75" s="154"/>
      <c r="J75" s="14">
        <v>1271980.8799999999</v>
      </c>
      <c r="K75" s="14"/>
      <c r="L75" s="14">
        <v>3739224.26</v>
      </c>
    </row>
    <row r="76" spans="1:14" x14ac:dyDescent="0.4">
      <c r="A76" s="9"/>
      <c r="B76" s="9"/>
      <c r="C76" s="190" t="s">
        <v>150</v>
      </c>
      <c r="D76" s="13"/>
      <c r="E76" s="13"/>
      <c r="F76" s="157">
        <f>SUM(F62:F75)</f>
        <v>266218000.82999998</v>
      </c>
      <c r="G76" s="21"/>
      <c r="H76" s="157">
        <f>SUM(H62:H75)</f>
        <v>576335141.31000006</v>
      </c>
      <c r="I76" s="154"/>
      <c r="J76" s="157">
        <f>SUM(J62:J75)</f>
        <v>271670792.13999999</v>
      </c>
      <c r="K76" s="21"/>
      <c r="L76" s="157">
        <f>SUM(L62:L75)</f>
        <v>668034913.12999988</v>
      </c>
    </row>
    <row r="77" spans="1:14" x14ac:dyDescent="0.4">
      <c r="A77" s="9"/>
      <c r="B77" s="9"/>
      <c r="C77" s="190"/>
      <c r="D77" s="13"/>
      <c r="E77" s="13"/>
      <c r="F77" s="21"/>
      <c r="G77" s="21"/>
      <c r="H77" s="21"/>
      <c r="I77" s="154"/>
      <c r="J77" s="21"/>
      <c r="K77" s="21"/>
      <c r="L77" s="21"/>
    </row>
    <row r="78" spans="1:14" x14ac:dyDescent="0.4">
      <c r="A78" s="190" t="s">
        <v>223</v>
      </c>
      <c r="B78" s="9"/>
      <c r="C78" s="190"/>
      <c r="D78" s="13"/>
      <c r="E78" s="13"/>
      <c r="F78" s="21"/>
      <c r="G78" s="21"/>
      <c r="H78" s="21"/>
      <c r="I78" s="154"/>
      <c r="J78" s="21"/>
      <c r="K78" s="21"/>
      <c r="L78" s="21"/>
    </row>
    <row r="79" spans="1:14" x14ac:dyDescent="0.4">
      <c r="A79" s="190"/>
      <c r="B79" s="9" t="s">
        <v>333</v>
      </c>
      <c r="C79" s="190"/>
      <c r="D79" s="13">
        <v>20</v>
      </c>
      <c r="E79" s="13"/>
      <c r="F79" s="21">
        <v>0</v>
      </c>
      <c r="G79" s="21"/>
      <c r="H79" s="21">
        <v>474599.76</v>
      </c>
      <c r="I79" s="154"/>
      <c r="J79" s="21">
        <v>0</v>
      </c>
      <c r="K79" s="21"/>
      <c r="L79" s="21">
        <v>474599.76</v>
      </c>
    </row>
    <row r="80" spans="1:14" x14ac:dyDescent="0.4">
      <c r="A80" s="9"/>
      <c r="B80" s="9" t="s">
        <v>323</v>
      </c>
      <c r="C80" s="190"/>
      <c r="D80" s="13">
        <v>21</v>
      </c>
      <c r="E80" s="13"/>
      <c r="F80" s="158">
        <v>37684847</v>
      </c>
      <c r="G80" s="158"/>
      <c r="H80" s="158">
        <v>35942518</v>
      </c>
      <c r="I80" s="14"/>
      <c r="J80" s="14">
        <v>37684847</v>
      </c>
      <c r="K80" s="14"/>
      <c r="L80" s="14">
        <v>34838513</v>
      </c>
      <c r="N80" s="153"/>
    </row>
    <row r="81" spans="1:12" x14ac:dyDescent="0.4">
      <c r="A81" s="9"/>
      <c r="B81" s="9"/>
      <c r="C81" s="190" t="s">
        <v>224</v>
      </c>
      <c r="D81" s="13"/>
      <c r="E81" s="13"/>
      <c r="F81" s="157">
        <f>SUM(F79:F80)</f>
        <v>37684847</v>
      </c>
      <c r="G81" s="21"/>
      <c r="H81" s="157">
        <f>SUM(H79:H80)</f>
        <v>36417117.759999998</v>
      </c>
      <c r="I81" s="14"/>
      <c r="J81" s="157">
        <f>SUM(J79:J80)</f>
        <v>37684847</v>
      </c>
      <c r="K81" s="21"/>
      <c r="L81" s="157">
        <f>SUM(L79:L80)</f>
        <v>35313112.759999998</v>
      </c>
    </row>
    <row r="82" spans="1:12" x14ac:dyDescent="0.4">
      <c r="A82" s="9"/>
      <c r="B82" s="9"/>
      <c r="C82" s="190" t="s">
        <v>225</v>
      </c>
      <c r="D82" s="13"/>
      <c r="E82" s="13"/>
      <c r="F82" s="155">
        <f>+F81+F76</f>
        <v>303902847.82999998</v>
      </c>
      <c r="G82" s="21"/>
      <c r="H82" s="155">
        <f>+H81+H76</f>
        <v>612752259.07000005</v>
      </c>
      <c r="I82" s="154"/>
      <c r="J82" s="155">
        <f>+J81+J76</f>
        <v>309355639.13999999</v>
      </c>
      <c r="K82" s="21"/>
      <c r="L82" s="155">
        <f>+L81+L76</f>
        <v>703348025.88999987</v>
      </c>
    </row>
    <row r="83" spans="1:12" x14ac:dyDescent="0.4">
      <c r="A83" s="9"/>
      <c r="B83" s="9"/>
      <c r="C83" s="190"/>
      <c r="D83" s="13"/>
      <c r="E83" s="13"/>
      <c r="F83" s="21"/>
      <c r="G83" s="21"/>
      <c r="H83" s="21"/>
      <c r="I83" s="154"/>
      <c r="J83" s="21"/>
      <c r="K83" s="21"/>
      <c r="L83" s="21"/>
    </row>
    <row r="84" spans="1:12" x14ac:dyDescent="0.4">
      <c r="A84" s="9" t="s">
        <v>271</v>
      </c>
      <c r="B84" s="9"/>
      <c r="C84" s="190"/>
      <c r="D84" s="13"/>
      <c r="E84" s="13"/>
      <c r="F84" s="17"/>
      <c r="G84" s="17"/>
      <c r="H84" s="17"/>
      <c r="I84" s="18"/>
      <c r="J84" s="17"/>
      <c r="K84" s="17"/>
      <c r="L84" s="17"/>
    </row>
    <row r="85" spans="1:12" x14ac:dyDescent="0.4">
      <c r="A85" s="9"/>
      <c r="B85" s="9"/>
      <c r="C85" s="190"/>
      <c r="D85" s="13"/>
      <c r="E85" s="13"/>
      <c r="F85" s="17"/>
      <c r="G85" s="17"/>
      <c r="H85" s="17"/>
      <c r="I85" s="18"/>
      <c r="J85" s="17"/>
      <c r="K85" s="17"/>
      <c r="L85" s="17"/>
    </row>
    <row r="86" spans="1:12" x14ac:dyDescent="0.4">
      <c r="A86" s="9"/>
      <c r="B86" s="9"/>
      <c r="C86" s="190"/>
      <c r="D86" s="13"/>
      <c r="E86" s="13"/>
      <c r="F86" s="17"/>
      <c r="G86" s="17"/>
      <c r="H86" s="17"/>
      <c r="I86" s="18"/>
      <c r="J86" s="17"/>
      <c r="K86" s="17"/>
      <c r="L86" s="17"/>
    </row>
    <row r="87" spans="1:12" x14ac:dyDescent="0.4">
      <c r="A87" s="9"/>
      <c r="B87" s="9"/>
      <c r="C87" s="190"/>
      <c r="D87" s="13"/>
      <c r="E87" s="13"/>
      <c r="F87" s="17"/>
      <c r="G87" s="17"/>
      <c r="H87" s="17"/>
      <c r="I87" s="18"/>
      <c r="J87" s="17"/>
      <c r="K87" s="17"/>
      <c r="L87" s="17"/>
    </row>
    <row r="88" spans="1:12" x14ac:dyDescent="0.4">
      <c r="A88" s="9"/>
      <c r="B88" s="9"/>
      <c r="C88" s="190"/>
      <c r="D88" s="13"/>
      <c r="E88" s="13"/>
      <c r="F88" s="17"/>
      <c r="G88" s="17"/>
      <c r="H88" s="17"/>
      <c r="I88" s="18"/>
      <c r="J88" s="17"/>
      <c r="K88" s="17"/>
      <c r="L88" s="17"/>
    </row>
    <row r="89" spans="1:12" x14ac:dyDescent="0.4">
      <c r="A89" s="9"/>
      <c r="B89" s="9"/>
      <c r="C89" s="190"/>
      <c r="D89" s="13"/>
      <c r="E89" s="13"/>
      <c r="F89" s="17"/>
      <c r="G89" s="17"/>
      <c r="H89" s="17"/>
      <c r="I89" s="18"/>
      <c r="J89" s="17"/>
      <c r="K89" s="17"/>
      <c r="L89" s="17"/>
    </row>
    <row r="90" spans="1:12" x14ac:dyDescent="0.4">
      <c r="A90" s="128"/>
      <c r="B90" s="9"/>
      <c r="C90" s="9"/>
      <c r="D90" s="13"/>
      <c r="E90" s="13"/>
      <c r="F90" s="13"/>
      <c r="G90" s="13"/>
      <c r="H90" s="13"/>
      <c r="I90" s="9"/>
      <c r="J90" s="17"/>
      <c r="K90" s="17"/>
      <c r="L90" s="17"/>
    </row>
    <row r="91" spans="1:12" x14ac:dyDescent="0.4">
      <c r="A91" s="128"/>
      <c r="B91" s="9"/>
      <c r="C91" s="9"/>
      <c r="D91" s="13"/>
      <c r="E91" s="13"/>
      <c r="F91" s="13"/>
      <c r="G91" s="13"/>
      <c r="H91" s="13"/>
      <c r="I91" s="9"/>
      <c r="J91" s="17"/>
      <c r="K91" s="17"/>
      <c r="L91" s="17"/>
    </row>
    <row r="92" spans="1:12" x14ac:dyDescent="0.4">
      <c r="A92" s="128"/>
      <c r="B92" s="9"/>
      <c r="C92" s="9"/>
      <c r="D92" s="13"/>
      <c r="E92" s="13"/>
      <c r="F92" s="13"/>
      <c r="G92" s="13"/>
      <c r="H92" s="13"/>
      <c r="I92" s="9"/>
      <c r="J92" s="17"/>
      <c r="K92" s="17"/>
      <c r="L92" s="17"/>
    </row>
    <row r="93" spans="1:12" x14ac:dyDescent="0.4">
      <c r="C93" s="9"/>
      <c r="D93" s="13"/>
      <c r="E93" s="13"/>
      <c r="F93" s="13"/>
      <c r="G93" s="13"/>
      <c r="H93" s="13"/>
      <c r="I93" s="9"/>
      <c r="J93" s="17"/>
      <c r="K93" s="17"/>
      <c r="L93" s="17"/>
    </row>
    <row r="94" spans="1:12" x14ac:dyDescent="0.4">
      <c r="A94" s="13"/>
      <c r="B94" s="24" t="s">
        <v>145</v>
      </c>
      <c r="C94" s="13"/>
      <c r="D94" s="24"/>
      <c r="E94" s="13"/>
      <c r="F94" s="24" t="s">
        <v>145</v>
      </c>
      <c r="G94" s="24"/>
      <c r="H94" s="13"/>
      <c r="I94" s="13"/>
      <c r="J94" s="13"/>
      <c r="K94" s="13"/>
      <c r="L94" s="13"/>
    </row>
    <row r="95" spans="1:12" x14ac:dyDescent="0.4">
      <c r="A95" s="221"/>
      <c r="B95" s="221"/>
      <c r="C95" s="221"/>
      <c r="D95" s="221"/>
      <c r="E95" s="221"/>
      <c r="F95" s="221"/>
      <c r="G95" s="221"/>
      <c r="H95" s="221"/>
      <c r="I95" s="221"/>
      <c r="J95" s="221"/>
      <c r="K95" s="221"/>
      <c r="L95" s="221"/>
    </row>
    <row r="96" spans="1:12" x14ac:dyDescent="0.4">
      <c r="B96" s="24"/>
      <c r="C96" s="13"/>
      <c r="D96" s="24"/>
      <c r="E96" s="24"/>
      <c r="F96" s="24"/>
      <c r="G96" s="24"/>
      <c r="H96" s="13"/>
      <c r="I96" s="24"/>
      <c r="J96" s="24"/>
      <c r="K96" s="24"/>
      <c r="L96" s="24"/>
    </row>
    <row r="97" spans="1:12" x14ac:dyDescent="0.4">
      <c r="A97" s="24"/>
      <c r="B97" s="25"/>
      <c r="C97" s="13"/>
      <c r="D97" s="13"/>
      <c r="E97" s="13"/>
      <c r="F97" s="13"/>
      <c r="G97" s="13"/>
      <c r="H97" s="13"/>
      <c r="I97" s="13"/>
      <c r="J97" s="13"/>
      <c r="K97" s="13"/>
      <c r="L97" s="11"/>
    </row>
    <row r="98" spans="1:12" x14ac:dyDescent="0.4">
      <c r="A98" s="222" t="s">
        <v>131</v>
      </c>
      <c r="B98" s="222"/>
      <c r="C98" s="222"/>
      <c r="D98" s="222"/>
      <c r="E98" s="222"/>
      <c r="F98" s="222"/>
      <c r="G98" s="222"/>
      <c r="H98" s="222"/>
      <c r="I98" s="222"/>
      <c r="J98" s="222"/>
      <c r="K98" s="222"/>
      <c r="L98" s="222"/>
    </row>
    <row r="99" spans="1:12" x14ac:dyDescent="0.4">
      <c r="A99" s="222" t="s">
        <v>238</v>
      </c>
      <c r="B99" s="222"/>
      <c r="C99" s="222"/>
      <c r="D99" s="222"/>
      <c r="E99" s="222"/>
      <c r="F99" s="222"/>
      <c r="G99" s="222"/>
      <c r="H99" s="222"/>
      <c r="I99" s="222"/>
      <c r="J99" s="222"/>
      <c r="K99" s="222"/>
      <c r="L99" s="222"/>
    </row>
    <row r="100" spans="1:12" s="26" customFormat="1" ht="21.75" customHeight="1" x14ac:dyDescent="0.4">
      <c r="A100" s="222" t="str">
        <f>+A55</f>
        <v>AS AT DECEMBER 31, 2024</v>
      </c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  <c r="L100" s="222"/>
    </row>
    <row r="101" spans="1:12" x14ac:dyDescent="0.4">
      <c r="A101" s="9"/>
      <c r="B101" s="9"/>
      <c r="C101" s="9"/>
      <c r="F101" s="223" t="s">
        <v>132</v>
      </c>
      <c r="G101" s="223"/>
      <c r="H101" s="223"/>
      <c r="I101" s="223"/>
      <c r="J101" s="223"/>
      <c r="K101" s="223"/>
      <c r="L101" s="223"/>
    </row>
    <row r="102" spans="1:12" ht="18.75" x14ac:dyDescent="0.4">
      <c r="A102" s="9"/>
      <c r="B102" s="9"/>
      <c r="C102" s="9"/>
      <c r="F102" s="220" t="s">
        <v>204</v>
      </c>
      <c r="G102" s="220"/>
      <c r="H102" s="220"/>
      <c r="I102" s="184"/>
      <c r="J102" s="220" t="s">
        <v>205</v>
      </c>
      <c r="K102" s="220"/>
      <c r="L102" s="220"/>
    </row>
    <row r="103" spans="1:12" x14ac:dyDescent="0.4">
      <c r="A103" s="9"/>
      <c r="B103" s="9"/>
      <c r="C103" s="9"/>
      <c r="D103" s="185" t="s">
        <v>133</v>
      </c>
      <c r="F103" s="188" t="str">
        <f>F58</f>
        <v>December 31, 2024</v>
      </c>
      <c r="H103" s="188" t="str">
        <f>H58</f>
        <v>December 31, 2023</v>
      </c>
      <c r="J103" s="188" t="str">
        <f>J58</f>
        <v>December 31, 2024</v>
      </c>
      <c r="K103" s="6"/>
      <c r="L103" s="188" t="str">
        <f>L58</f>
        <v>December 31, 2023</v>
      </c>
    </row>
    <row r="104" spans="1:12" x14ac:dyDescent="0.4">
      <c r="A104" s="6"/>
      <c r="B104" s="6"/>
      <c r="C104" s="6"/>
      <c r="F104" s="20"/>
      <c r="G104" s="20"/>
      <c r="H104" s="20"/>
      <c r="I104" s="9"/>
      <c r="J104" s="20"/>
      <c r="K104" s="20"/>
      <c r="L104" s="20"/>
    </row>
    <row r="105" spans="1:12" x14ac:dyDescent="0.4">
      <c r="A105" s="190" t="s">
        <v>151</v>
      </c>
      <c r="B105" s="9"/>
      <c r="C105" s="9"/>
      <c r="D105" s="13"/>
      <c r="E105" s="13"/>
      <c r="F105" s="27"/>
      <c r="G105" s="27"/>
      <c r="H105" s="28"/>
      <c r="I105" s="9"/>
      <c r="J105" s="27"/>
      <c r="K105" s="27"/>
      <c r="L105" s="27"/>
    </row>
    <row r="106" spans="1:12" x14ac:dyDescent="0.4">
      <c r="A106" s="9"/>
      <c r="B106" s="9" t="s">
        <v>291</v>
      </c>
      <c r="C106" s="9"/>
      <c r="D106" s="13"/>
      <c r="E106" s="13"/>
      <c r="F106" s="189"/>
      <c r="G106" s="189"/>
      <c r="H106" s="189"/>
      <c r="I106" s="154"/>
      <c r="J106" s="21"/>
      <c r="K106" s="21"/>
      <c r="L106" s="14"/>
    </row>
    <row r="107" spans="1:12" x14ac:dyDescent="0.4">
      <c r="A107" s="9"/>
      <c r="B107" s="9" t="s">
        <v>152</v>
      </c>
      <c r="C107" s="9"/>
      <c r="D107" s="13"/>
      <c r="E107" s="13"/>
      <c r="F107" s="189"/>
      <c r="G107" s="189"/>
      <c r="H107" s="189"/>
      <c r="I107" s="154"/>
      <c r="J107" s="21"/>
      <c r="K107" s="21"/>
      <c r="L107" s="14"/>
    </row>
    <row r="108" spans="1:12" ht="18.75" thickBot="1" x14ac:dyDescent="0.45">
      <c r="A108" s="9"/>
      <c r="B108" s="9"/>
      <c r="C108" s="37" t="s">
        <v>337</v>
      </c>
      <c r="D108" s="13">
        <v>25</v>
      </c>
      <c r="E108" s="13"/>
      <c r="F108" s="191">
        <v>0</v>
      </c>
      <c r="G108" s="189"/>
      <c r="H108" s="191">
        <v>1644604486.8699999</v>
      </c>
      <c r="I108" s="154"/>
      <c r="J108" s="191">
        <v>0</v>
      </c>
      <c r="K108" s="189"/>
      <c r="L108" s="191">
        <v>1644604486.8699999</v>
      </c>
    </row>
    <row r="109" spans="1:12" ht="19.5" thickTop="1" thickBot="1" x14ac:dyDescent="0.45">
      <c r="A109" s="9"/>
      <c r="B109" s="9"/>
      <c r="C109" s="37" t="s">
        <v>362</v>
      </c>
      <c r="D109" s="13">
        <v>25</v>
      </c>
      <c r="E109" s="13"/>
      <c r="F109" s="191">
        <v>1657854486.8800001</v>
      </c>
      <c r="G109" s="189"/>
      <c r="H109" s="191">
        <v>0</v>
      </c>
      <c r="I109" s="154"/>
      <c r="J109" s="191">
        <v>1657854486.8800001</v>
      </c>
      <c r="K109" s="189"/>
      <c r="L109" s="191">
        <v>0</v>
      </c>
    </row>
    <row r="110" spans="1:12" ht="18.75" thickTop="1" x14ac:dyDescent="0.4">
      <c r="A110" s="9"/>
      <c r="B110" s="9" t="s">
        <v>191</v>
      </c>
      <c r="C110" s="9"/>
      <c r="D110" s="13"/>
      <c r="E110" s="13"/>
      <c r="F110" s="189"/>
      <c r="G110" s="189"/>
      <c r="H110" s="189"/>
      <c r="I110" s="154"/>
      <c r="J110" s="14"/>
      <c r="K110" s="14"/>
      <c r="L110" s="14"/>
    </row>
    <row r="111" spans="1:12" x14ac:dyDescent="0.4">
      <c r="A111" s="9"/>
      <c r="B111" s="9"/>
      <c r="C111" s="37" t="s">
        <v>356</v>
      </c>
      <c r="D111" s="13">
        <v>25</v>
      </c>
      <c r="E111" s="13"/>
      <c r="F111" s="14">
        <v>0</v>
      </c>
      <c r="G111" s="14"/>
      <c r="H111" s="14">
        <v>1164401069.76</v>
      </c>
      <c r="I111" s="14"/>
      <c r="J111" s="14">
        <v>0</v>
      </c>
      <c r="K111" s="14"/>
      <c r="L111" s="14">
        <v>1164401069.76</v>
      </c>
    </row>
    <row r="112" spans="1:12" x14ac:dyDescent="0.4">
      <c r="A112" s="9"/>
      <c r="B112" s="9"/>
      <c r="C112" s="37" t="s">
        <v>363</v>
      </c>
      <c r="D112" s="13">
        <v>25</v>
      </c>
      <c r="E112" s="13"/>
      <c r="F112" s="14">
        <v>1350102558.8800001</v>
      </c>
      <c r="G112" s="14"/>
      <c r="H112" s="14">
        <v>0</v>
      </c>
      <c r="I112" s="14"/>
      <c r="J112" s="14">
        <v>1350102558.8800001</v>
      </c>
      <c r="K112" s="14"/>
      <c r="L112" s="14">
        <v>0</v>
      </c>
    </row>
    <row r="113" spans="1:20" x14ac:dyDescent="0.4">
      <c r="A113" s="9"/>
      <c r="B113" s="9" t="s">
        <v>292</v>
      </c>
      <c r="C113" s="34"/>
      <c r="D113" s="13">
        <v>25</v>
      </c>
      <c r="E113" s="13"/>
      <c r="F113" s="14">
        <f>+'Changed-Conso'!H37</f>
        <v>1344904738.7199998</v>
      </c>
      <c r="G113" s="14"/>
      <c r="H113" s="14">
        <v>688264273.16999996</v>
      </c>
      <c r="I113" s="154"/>
      <c r="J113" s="14">
        <f>+'Changed-Com'!H34</f>
        <v>1344904738.7199998</v>
      </c>
      <c r="K113" s="14"/>
      <c r="L113" s="14">
        <v>688264273.16999996</v>
      </c>
    </row>
    <row r="114" spans="1:20" x14ac:dyDescent="0.4">
      <c r="A114" s="9"/>
      <c r="B114" s="9" t="s">
        <v>153</v>
      </c>
      <c r="C114" s="9"/>
      <c r="D114" s="13"/>
      <c r="E114" s="13"/>
      <c r="F114" s="14"/>
      <c r="G114" s="14"/>
      <c r="H114" s="189"/>
      <c r="I114" s="154"/>
      <c r="J114" s="14"/>
      <c r="K114" s="14"/>
      <c r="L114" s="14"/>
    </row>
    <row r="115" spans="1:20" x14ac:dyDescent="0.4">
      <c r="A115" s="9"/>
      <c r="B115" s="9"/>
      <c r="C115" s="9" t="s">
        <v>154</v>
      </c>
      <c r="D115" s="13">
        <v>27</v>
      </c>
      <c r="E115" s="13"/>
      <c r="F115" s="158">
        <f>+'Changed-Conso'!L37</f>
        <v>111952161.69</v>
      </c>
      <c r="G115" s="158"/>
      <c r="H115" s="158">
        <v>107803033.52</v>
      </c>
      <c r="I115" s="154"/>
      <c r="J115" s="158">
        <f>+'Changed-Com'!R34</f>
        <v>111952161.69</v>
      </c>
      <c r="K115" s="158"/>
      <c r="L115" s="158">
        <v>107803033.52</v>
      </c>
    </row>
    <row r="116" spans="1:20" x14ac:dyDescent="0.4">
      <c r="A116" s="9"/>
      <c r="B116" s="9"/>
      <c r="C116" s="9" t="s">
        <v>155</v>
      </c>
      <c r="D116" s="192"/>
      <c r="E116" s="13"/>
      <c r="F116" s="21">
        <f>+'Changed-Conso'!N37</f>
        <v>822100957.76000035</v>
      </c>
      <c r="G116" s="21"/>
      <c r="H116" s="189">
        <v>904903721.64000022</v>
      </c>
      <c r="I116" s="154"/>
      <c r="J116" s="21">
        <f>+'Changed-Com'!T34</f>
        <v>584721503.51000011</v>
      </c>
      <c r="K116" s="21"/>
      <c r="L116" s="21">
        <v>944772321.66999996</v>
      </c>
    </row>
    <row r="117" spans="1:20" x14ac:dyDescent="0.4">
      <c r="A117" s="9"/>
      <c r="B117" s="9" t="s">
        <v>229</v>
      </c>
      <c r="D117" s="3"/>
      <c r="E117" s="3"/>
      <c r="F117" s="155">
        <f>+'Changed-Conso'!T37</f>
        <v>6366700.7300000014</v>
      </c>
      <c r="G117" s="21"/>
      <c r="H117" s="155">
        <v>7757018.6100000013</v>
      </c>
      <c r="I117" s="154"/>
      <c r="J117" s="155">
        <v>0</v>
      </c>
      <c r="K117" s="21"/>
      <c r="L117" s="155">
        <v>0</v>
      </c>
    </row>
    <row r="118" spans="1:20" x14ac:dyDescent="0.4">
      <c r="A118" s="9"/>
      <c r="B118" s="9"/>
      <c r="C118" s="9" t="s">
        <v>264</v>
      </c>
      <c r="D118" s="13"/>
      <c r="E118" s="13"/>
      <c r="F118" s="14">
        <f>SUM(F111:F117)</f>
        <v>3635427117.7800002</v>
      </c>
      <c r="G118" s="14"/>
      <c r="H118" s="14">
        <f>SUM(H111:H117)</f>
        <v>2873129116.7000003</v>
      </c>
      <c r="I118" s="154"/>
      <c r="J118" s="14">
        <f>SUM(J111:J117)</f>
        <v>3391680962.8000002</v>
      </c>
      <c r="K118" s="14"/>
      <c r="L118" s="14">
        <f>SUM(L111:L117)</f>
        <v>2905240698.1199999</v>
      </c>
    </row>
    <row r="119" spans="1:20" x14ac:dyDescent="0.4">
      <c r="A119" s="9"/>
      <c r="B119" s="9" t="s">
        <v>233</v>
      </c>
      <c r="C119" s="9"/>
      <c r="D119" s="13"/>
      <c r="E119" s="13"/>
      <c r="F119" s="193">
        <f>+'Changed-Conso'!X37</f>
        <v>62140406.899999999</v>
      </c>
      <c r="G119" s="189"/>
      <c r="H119" s="193">
        <v>62559877.350000001</v>
      </c>
      <c r="I119" s="154"/>
      <c r="J119" s="155">
        <v>0</v>
      </c>
      <c r="K119" s="21"/>
      <c r="L119" s="155">
        <v>0</v>
      </c>
    </row>
    <row r="120" spans="1:20" x14ac:dyDescent="0.4">
      <c r="A120" s="9"/>
      <c r="B120" s="9"/>
      <c r="C120" s="9" t="s">
        <v>265</v>
      </c>
      <c r="D120" s="13"/>
      <c r="E120" s="13"/>
      <c r="F120" s="14">
        <f>+F119+F118</f>
        <v>3697567524.6800003</v>
      </c>
      <c r="G120" s="14"/>
      <c r="H120" s="14">
        <f>+H119+H118</f>
        <v>2935688994.0500002</v>
      </c>
      <c r="I120" s="154"/>
      <c r="J120" s="14">
        <f>+J119+J118</f>
        <v>3391680962.8000002</v>
      </c>
      <c r="K120" s="14"/>
      <c r="L120" s="14">
        <f>+L119+L118</f>
        <v>2905240698.1199999</v>
      </c>
    </row>
    <row r="121" spans="1:20" ht="18.75" thickBot="1" x14ac:dyDescent="0.45">
      <c r="A121" s="18" t="s">
        <v>156</v>
      </c>
      <c r="B121" s="9"/>
      <c r="C121" s="9"/>
      <c r="D121" s="13"/>
      <c r="E121" s="13"/>
      <c r="F121" s="159">
        <f>+F120+F82</f>
        <v>4001470372.5100002</v>
      </c>
      <c r="G121" s="21"/>
      <c r="H121" s="159">
        <f>+H120+H82</f>
        <v>3548441253.1200004</v>
      </c>
      <c r="I121" s="154"/>
      <c r="J121" s="159">
        <f>+J120+J82</f>
        <v>3701036601.9400001</v>
      </c>
      <c r="K121" s="21"/>
      <c r="L121" s="159">
        <f>+L120+L82</f>
        <v>3608588724.0099998</v>
      </c>
      <c r="N121" s="1">
        <f>F121-F44</f>
        <v>0</v>
      </c>
      <c r="P121" s="1" t="e">
        <f>#REF!-#REF!</f>
        <v>#REF!</v>
      </c>
      <c r="R121" s="1">
        <f>J121-J44</f>
        <v>0</v>
      </c>
      <c r="T121" s="1" t="e">
        <f>#REF!-#REF!</f>
        <v>#REF!</v>
      </c>
    </row>
    <row r="122" spans="1:20" ht="18.75" thickTop="1" x14ac:dyDescent="0.4">
      <c r="A122" s="9"/>
      <c r="F122" s="194"/>
      <c r="G122" s="194"/>
      <c r="H122" s="194"/>
      <c r="I122" s="153"/>
      <c r="J122" s="4"/>
      <c r="K122" s="4"/>
      <c r="L122" s="4"/>
    </row>
    <row r="123" spans="1:20" x14ac:dyDescent="0.4">
      <c r="A123" s="15" t="s">
        <v>271</v>
      </c>
      <c r="B123" s="9"/>
      <c r="C123" s="9"/>
      <c r="D123" s="13"/>
      <c r="E123" s="13"/>
      <c r="F123" s="21"/>
      <c r="G123" s="21"/>
      <c r="H123" s="21"/>
      <c r="I123" s="154"/>
      <c r="J123" s="21"/>
      <c r="K123" s="21"/>
      <c r="L123" s="21"/>
    </row>
    <row r="124" spans="1:20" x14ac:dyDescent="0.4">
      <c r="A124" s="9"/>
      <c r="B124" s="9"/>
      <c r="C124" s="9"/>
      <c r="D124" s="13"/>
      <c r="E124" s="13"/>
      <c r="F124" s="17"/>
      <c r="G124" s="17"/>
      <c r="H124" s="17"/>
      <c r="I124" s="9"/>
      <c r="J124" s="17"/>
      <c r="K124" s="17"/>
      <c r="L124" s="17"/>
    </row>
    <row r="125" spans="1:20" x14ac:dyDescent="0.4">
      <c r="A125" s="9"/>
      <c r="B125" s="9"/>
      <c r="C125" s="9"/>
      <c r="D125" s="13"/>
      <c r="E125" s="13"/>
      <c r="F125" s="17"/>
      <c r="G125" s="17"/>
      <c r="H125" s="17"/>
      <c r="I125" s="9"/>
      <c r="J125" s="17"/>
      <c r="K125" s="17"/>
      <c r="L125" s="17"/>
    </row>
    <row r="126" spans="1:20" x14ac:dyDescent="0.4">
      <c r="A126" s="9"/>
      <c r="B126" s="9"/>
      <c r="C126" s="9"/>
      <c r="D126" s="13"/>
      <c r="E126" s="13"/>
      <c r="F126" s="17"/>
      <c r="G126" s="17"/>
      <c r="H126" s="17"/>
      <c r="I126" s="9"/>
      <c r="J126" s="17"/>
      <c r="K126" s="17"/>
      <c r="L126" s="17"/>
    </row>
    <row r="127" spans="1:20" x14ac:dyDescent="0.4">
      <c r="A127" s="9"/>
      <c r="B127" s="9"/>
      <c r="C127" s="9"/>
      <c r="D127" s="13"/>
      <c r="E127" s="13"/>
      <c r="F127" s="17"/>
      <c r="G127" s="17"/>
      <c r="H127" s="17"/>
      <c r="I127" s="9"/>
      <c r="J127" s="17"/>
      <c r="K127" s="17"/>
      <c r="L127" s="17"/>
    </row>
    <row r="128" spans="1:20" x14ac:dyDescent="0.4">
      <c r="A128" s="9"/>
      <c r="B128" s="9"/>
      <c r="C128" s="9"/>
      <c r="D128" s="13"/>
      <c r="E128" s="13"/>
      <c r="F128" s="17"/>
      <c r="G128" s="17"/>
      <c r="H128" s="17"/>
      <c r="I128" s="9"/>
      <c r="J128" s="17"/>
      <c r="K128" s="17"/>
      <c r="L128" s="17"/>
    </row>
    <row r="129" spans="1:12" x14ac:dyDescent="0.4">
      <c r="A129" s="9"/>
      <c r="B129" s="9"/>
      <c r="C129" s="9"/>
      <c r="D129" s="13"/>
      <c r="E129" s="13"/>
      <c r="F129" s="17"/>
      <c r="G129" s="17"/>
      <c r="H129" s="17"/>
      <c r="I129" s="9"/>
      <c r="J129" s="17"/>
      <c r="K129" s="17"/>
      <c r="L129" s="17"/>
    </row>
    <row r="130" spans="1:12" x14ac:dyDescent="0.4">
      <c r="A130" s="9"/>
      <c r="B130" s="9"/>
      <c r="C130" s="9"/>
      <c r="D130" s="13"/>
      <c r="E130" s="13"/>
      <c r="F130" s="17"/>
      <c r="G130" s="17"/>
      <c r="H130" s="17"/>
      <c r="I130" s="9"/>
      <c r="J130" s="17"/>
      <c r="K130" s="17"/>
      <c r="L130" s="17"/>
    </row>
    <row r="131" spans="1:12" x14ac:dyDescent="0.4">
      <c r="A131" s="9"/>
      <c r="B131" s="9"/>
      <c r="C131" s="9"/>
      <c r="D131" s="13"/>
      <c r="E131" s="13"/>
      <c r="F131" s="17"/>
      <c r="G131" s="17"/>
      <c r="H131" s="17"/>
      <c r="I131" s="9"/>
      <c r="J131" s="17"/>
      <c r="K131" s="17"/>
      <c r="L131" s="17"/>
    </row>
    <row r="132" spans="1:12" x14ac:dyDescent="0.4">
      <c r="B132" s="9"/>
      <c r="C132" s="9"/>
      <c r="D132" s="13"/>
      <c r="E132" s="13"/>
      <c r="F132" s="13"/>
      <c r="G132" s="13"/>
      <c r="H132" s="13"/>
      <c r="I132" s="9"/>
      <c r="J132" s="17"/>
      <c r="K132" s="17"/>
      <c r="L132" s="17"/>
    </row>
    <row r="133" spans="1:12" x14ac:dyDescent="0.4">
      <c r="A133" s="128"/>
      <c r="B133" s="9"/>
      <c r="C133" s="9"/>
      <c r="D133" s="13"/>
      <c r="E133" s="13"/>
      <c r="F133" s="13"/>
      <c r="G133" s="13"/>
      <c r="H133" s="13"/>
      <c r="I133" s="9"/>
      <c r="J133" s="17"/>
      <c r="K133" s="17"/>
      <c r="L133" s="17"/>
    </row>
    <row r="134" spans="1:12" x14ac:dyDescent="0.4">
      <c r="A134" s="128"/>
      <c r="B134" s="9"/>
      <c r="C134" s="9"/>
      <c r="D134" s="13"/>
      <c r="E134" s="13"/>
      <c r="F134" s="13"/>
      <c r="G134" s="13"/>
      <c r="H134" s="13"/>
      <c r="I134" s="9"/>
      <c r="J134" s="17"/>
      <c r="K134" s="17"/>
      <c r="L134" s="17"/>
    </row>
    <row r="135" spans="1:12" x14ac:dyDescent="0.4">
      <c r="A135" s="128"/>
      <c r="B135" s="9"/>
      <c r="C135" s="9"/>
      <c r="D135" s="13"/>
      <c r="E135" s="13"/>
      <c r="F135" s="13"/>
      <c r="G135" s="13"/>
      <c r="H135" s="13"/>
      <c r="I135" s="9"/>
      <c r="J135" s="17"/>
      <c r="K135" s="17"/>
      <c r="L135" s="17"/>
    </row>
    <row r="136" spans="1:12" x14ac:dyDescent="0.4">
      <c r="A136" s="128"/>
      <c r="B136" s="9"/>
      <c r="C136" s="9"/>
      <c r="D136" s="13"/>
      <c r="E136" s="13"/>
      <c r="F136" s="13"/>
      <c r="G136" s="13"/>
      <c r="H136" s="13"/>
      <c r="I136" s="9"/>
      <c r="J136" s="17"/>
      <c r="K136" s="17"/>
      <c r="L136" s="17"/>
    </row>
    <row r="137" spans="1:12" x14ac:dyDescent="0.4">
      <c r="C137" s="9"/>
      <c r="D137" s="13"/>
      <c r="E137" s="13"/>
      <c r="F137" s="13"/>
      <c r="G137" s="13"/>
      <c r="H137" s="13"/>
      <c r="I137" s="9"/>
      <c r="J137" s="17"/>
      <c r="K137" s="17"/>
      <c r="L137" s="17"/>
    </row>
    <row r="138" spans="1:12" x14ac:dyDescent="0.4">
      <c r="A138" s="13"/>
      <c r="B138" s="24" t="s">
        <v>145</v>
      </c>
      <c r="C138" s="13"/>
      <c r="D138" s="24"/>
      <c r="E138" s="13"/>
      <c r="F138" s="24" t="s">
        <v>145</v>
      </c>
      <c r="G138" s="24"/>
      <c r="H138" s="13"/>
      <c r="I138" s="13"/>
      <c r="J138" s="13"/>
      <c r="K138" s="13"/>
      <c r="L138" s="13"/>
    </row>
    <row r="139" spans="1:12" ht="17.25" customHeight="1" x14ac:dyDescent="0.4">
      <c r="A139" s="221"/>
      <c r="B139" s="221"/>
      <c r="C139" s="221"/>
      <c r="D139" s="221"/>
      <c r="E139" s="221"/>
      <c r="F139" s="221"/>
      <c r="G139" s="221"/>
      <c r="H139" s="221"/>
      <c r="I139" s="221"/>
      <c r="J139" s="221"/>
      <c r="K139" s="221"/>
      <c r="L139" s="221"/>
    </row>
    <row r="140" spans="1:12" x14ac:dyDescent="0.4">
      <c r="A140" s="9"/>
      <c r="B140" s="9"/>
      <c r="C140" s="9"/>
      <c r="D140" s="195" t="s">
        <v>244</v>
      </c>
      <c r="E140" s="13"/>
      <c r="F140" s="21">
        <f>+F121-F44</f>
        <v>0</v>
      </c>
      <c r="G140" s="21"/>
      <c r="H140" s="21">
        <f>+H121-H44</f>
        <v>0</v>
      </c>
      <c r="I140" s="9"/>
      <c r="J140" s="21">
        <f>+J121-J44</f>
        <v>0</v>
      </c>
      <c r="K140" s="21"/>
      <c r="L140" s="21">
        <f>+L121-L44</f>
        <v>0</v>
      </c>
    </row>
  </sheetData>
  <mergeCells count="23">
    <mergeCell ref="A9:C9"/>
    <mergeCell ref="A5:L5"/>
    <mergeCell ref="A3:L3"/>
    <mergeCell ref="A4:L4"/>
    <mergeCell ref="F6:L6"/>
    <mergeCell ref="F7:H7"/>
    <mergeCell ref="J7:L7"/>
    <mergeCell ref="A139:L139"/>
    <mergeCell ref="A99:L99"/>
    <mergeCell ref="F101:L101"/>
    <mergeCell ref="A60:C60"/>
    <mergeCell ref="A95:L95"/>
    <mergeCell ref="A98:L98"/>
    <mergeCell ref="A100:L100"/>
    <mergeCell ref="F102:H102"/>
    <mergeCell ref="J102:L102"/>
    <mergeCell ref="F57:H57"/>
    <mergeCell ref="J57:L57"/>
    <mergeCell ref="A50:L50"/>
    <mergeCell ref="A53:L53"/>
    <mergeCell ref="F56:L56"/>
    <mergeCell ref="A54:L54"/>
    <mergeCell ref="A55:L55"/>
  </mergeCells>
  <phoneticPr fontId="0" type="noConversion"/>
  <pageMargins left="0.61" right="0" top="0.511811023622047" bottom="0.27" header="0.35433070866141703" footer="0"/>
  <pageSetup paperSize="9" orientation="portrait" useFirstPageNumber="1" r:id="rId1"/>
  <headerFooter alignWithMargins="0">
    <oddFooter>&amp;C&amp;P</oddFooter>
  </headerFooter>
  <rowBreaks count="2" manualBreakCount="2">
    <brk id="50" max="15" man="1"/>
    <brk id="9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44"/>
  <sheetViews>
    <sheetView view="pageBreakPreview" topLeftCell="A5" zoomScaleNormal="100" zoomScaleSheetLayoutView="100" workbookViewId="0">
      <selection activeCell="B32" sqref="B32"/>
    </sheetView>
  </sheetViews>
  <sheetFormatPr defaultColWidth="9.140625" defaultRowHeight="18" x14ac:dyDescent="0.4"/>
  <cols>
    <col min="1" max="1" width="35.140625" style="9" customWidth="1"/>
    <col min="2" max="2" width="5.140625" style="9" customWidth="1"/>
    <col min="3" max="3" width="1.140625" style="9" customWidth="1"/>
    <col min="4" max="4" width="13.140625" style="9" customWidth="1"/>
    <col min="5" max="5" width="1.140625" style="9" customWidth="1"/>
    <col min="6" max="6" width="10.85546875" style="9" hidden="1" customWidth="1"/>
    <col min="7" max="7" width="1.140625" style="9" hidden="1" customWidth="1"/>
    <col min="8" max="8" width="12.42578125" style="9" bestFit="1" customWidth="1"/>
    <col min="9" max="9" width="1.140625" style="9" hidden="1" customWidth="1"/>
    <col min="10" max="10" width="11.85546875" style="9" hidden="1" customWidth="1"/>
    <col min="11" max="11" width="0.85546875" style="9" customWidth="1"/>
    <col min="12" max="12" width="11.85546875" style="9" customWidth="1"/>
    <col min="13" max="13" width="1" style="9" customWidth="1"/>
    <col min="14" max="14" width="12.85546875" style="9" customWidth="1"/>
    <col min="15" max="15" width="1" style="9" customWidth="1"/>
    <col min="16" max="16" width="13.42578125" style="9" customWidth="1"/>
    <col min="17" max="17" width="1" style="9" hidden="1" customWidth="1"/>
    <col min="18" max="18" width="11.85546875" style="9" hidden="1" customWidth="1"/>
    <col min="19" max="19" width="1" style="9" customWidth="1"/>
    <col min="20" max="20" width="12.85546875" style="9" customWidth="1"/>
    <col min="21" max="21" width="1.140625" style="9" customWidth="1"/>
    <col min="22" max="22" width="12.85546875" style="9" bestFit="1" customWidth="1"/>
    <col min="23" max="23" width="1.140625" style="9" customWidth="1"/>
    <col min="24" max="24" width="11.85546875" style="9" bestFit="1" customWidth="1"/>
    <col min="25" max="25" width="1.140625" style="9" customWidth="1"/>
    <col min="26" max="26" width="12.85546875" style="9" bestFit="1" customWidth="1"/>
    <col min="27" max="27" width="11.140625" style="9" hidden="1" customWidth="1"/>
    <col min="28" max="28" width="12.42578125" style="9" bestFit="1" customWidth="1"/>
    <col min="29" max="29" width="16.85546875" style="9" customWidth="1"/>
    <col min="30" max="16384" width="9.140625" style="9"/>
  </cols>
  <sheetData>
    <row r="1" spans="1:29" ht="21.75" customHeight="1" x14ac:dyDescent="0.4">
      <c r="A1" s="3"/>
      <c r="X1" s="226"/>
      <c r="Y1" s="226"/>
      <c r="Z1" s="226"/>
    </row>
    <row r="2" spans="1:29" x14ac:dyDescent="0.4">
      <c r="A2" s="227" t="s">
        <v>131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</row>
    <row r="3" spans="1:29" x14ac:dyDescent="0.4">
      <c r="A3" s="227" t="s">
        <v>259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18"/>
      <c r="AB3" s="18"/>
    </row>
    <row r="4" spans="1:29" ht="18" customHeight="1" x14ac:dyDescent="0.4">
      <c r="A4" s="227" t="s">
        <v>206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</row>
    <row r="5" spans="1:29" x14ac:dyDescent="0.4">
      <c r="A5" s="227" t="s">
        <v>358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</row>
    <row r="6" spans="1:29" ht="7.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9" x14ac:dyDescent="0.4">
      <c r="A7" s="28"/>
      <c r="B7" s="8"/>
      <c r="C7" s="8"/>
      <c r="D7" s="230" t="s">
        <v>166</v>
      </c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</row>
    <row r="8" spans="1:29" x14ac:dyDescent="0.4">
      <c r="A8" s="28"/>
      <c r="B8" s="8"/>
      <c r="C8" s="8"/>
      <c r="D8" s="21"/>
      <c r="E8" s="21"/>
      <c r="F8" s="125"/>
      <c r="G8" s="125"/>
      <c r="H8" s="125"/>
      <c r="I8" s="21"/>
      <c r="J8" s="21"/>
      <c r="K8" s="21"/>
      <c r="L8" s="228" t="s">
        <v>153</v>
      </c>
      <c r="M8" s="228"/>
      <c r="N8" s="228"/>
      <c r="O8" s="14"/>
      <c r="P8" s="229" t="s">
        <v>229</v>
      </c>
      <c r="Q8" s="229"/>
      <c r="R8" s="229"/>
      <c r="S8" s="229"/>
      <c r="T8" s="229"/>
      <c r="U8" s="8"/>
      <c r="V8" s="147"/>
      <c r="W8" s="144"/>
      <c r="X8" s="148"/>
    </row>
    <row r="9" spans="1:29" x14ac:dyDescent="0.4">
      <c r="D9" s="125"/>
      <c r="E9" s="14"/>
      <c r="F9" s="125"/>
      <c r="G9" s="125"/>
      <c r="H9" s="125"/>
      <c r="I9" s="14"/>
      <c r="J9" s="30" t="s">
        <v>295</v>
      </c>
      <c r="K9" s="14"/>
      <c r="O9" s="30"/>
      <c r="P9" s="30"/>
      <c r="Q9" s="30"/>
      <c r="R9" s="33" t="s">
        <v>309</v>
      </c>
      <c r="S9" s="33"/>
      <c r="T9" s="32"/>
      <c r="U9" s="14"/>
      <c r="V9" s="13" t="s">
        <v>257</v>
      </c>
      <c r="W9" s="32"/>
    </row>
    <row r="10" spans="1:29" x14ac:dyDescent="0.4">
      <c r="B10" s="13"/>
      <c r="D10" s="30" t="s">
        <v>202</v>
      </c>
      <c r="E10" s="30"/>
      <c r="F10" s="30"/>
      <c r="G10" s="30"/>
      <c r="H10" s="30" t="s">
        <v>293</v>
      </c>
      <c r="I10" s="30"/>
      <c r="J10" s="30" t="s">
        <v>296</v>
      </c>
      <c r="K10" s="30"/>
      <c r="L10" s="30"/>
      <c r="M10" s="30"/>
      <c r="N10" s="30"/>
      <c r="O10" s="30"/>
      <c r="P10" s="30" t="s">
        <v>170</v>
      </c>
      <c r="Q10" s="30"/>
      <c r="R10" s="33" t="s">
        <v>310</v>
      </c>
      <c r="S10" s="33"/>
      <c r="T10" s="32" t="s">
        <v>231</v>
      </c>
      <c r="U10" s="14"/>
      <c r="V10" s="8" t="s">
        <v>256</v>
      </c>
      <c r="W10" s="32"/>
      <c r="X10" s="32" t="s">
        <v>227</v>
      </c>
    </row>
    <row r="11" spans="1:29" x14ac:dyDescent="0.4">
      <c r="B11" s="13"/>
      <c r="D11" s="30" t="s">
        <v>167</v>
      </c>
      <c r="E11" s="30"/>
      <c r="F11" s="30"/>
      <c r="G11" s="30"/>
      <c r="H11" s="30" t="s">
        <v>294</v>
      </c>
      <c r="I11" s="30"/>
      <c r="J11" s="30" t="s">
        <v>297</v>
      </c>
      <c r="K11" s="30"/>
      <c r="L11" s="30" t="s">
        <v>174</v>
      </c>
      <c r="M11" s="30"/>
      <c r="N11" s="30"/>
      <c r="O11" s="30"/>
      <c r="P11" s="30" t="s">
        <v>171</v>
      </c>
      <c r="Q11" s="30"/>
      <c r="R11" s="33" t="s">
        <v>311</v>
      </c>
      <c r="S11" s="33"/>
      <c r="T11" s="30" t="s">
        <v>232</v>
      </c>
      <c r="U11" s="14"/>
      <c r="V11" s="8" t="s">
        <v>221</v>
      </c>
      <c r="W11" s="32"/>
      <c r="X11" s="32" t="s">
        <v>228</v>
      </c>
    </row>
    <row r="12" spans="1:29" x14ac:dyDescent="0.4">
      <c r="B12" s="152" t="s">
        <v>220</v>
      </c>
      <c r="D12" s="179" t="s">
        <v>168</v>
      </c>
      <c r="E12" s="179"/>
      <c r="F12" s="179" t="s">
        <v>245</v>
      </c>
      <c r="G12" s="179"/>
      <c r="H12" s="179" t="s">
        <v>169</v>
      </c>
      <c r="I12" s="179"/>
      <c r="J12" s="179" t="s">
        <v>298</v>
      </c>
      <c r="K12" s="179"/>
      <c r="L12" s="179" t="s">
        <v>175</v>
      </c>
      <c r="M12" s="179"/>
      <c r="N12" s="179" t="s">
        <v>155</v>
      </c>
      <c r="O12" s="33"/>
      <c r="P12" s="179" t="s">
        <v>172</v>
      </c>
      <c r="Q12" s="33"/>
      <c r="R12" s="179" t="s">
        <v>312</v>
      </c>
      <c r="S12" s="33"/>
      <c r="T12" s="179" t="s">
        <v>230</v>
      </c>
      <c r="U12" s="14"/>
      <c r="V12" s="36" t="s">
        <v>222</v>
      </c>
      <c r="W12" s="32"/>
      <c r="X12" s="178" t="s">
        <v>249</v>
      </c>
      <c r="Z12" s="178" t="s">
        <v>176</v>
      </c>
      <c r="AC12" s="33"/>
    </row>
    <row r="13" spans="1:29" x14ac:dyDescent="0.4">
      <c r="C13" s="33"/>
      <c r="D13" s="154"/>
      <c r="E13" s="154"/>
      <c r="F13" s="154"/>
      <c r="G13" s="154"/>
      <c r="H13" s="154"/>
      <c r="I13" s="154"/>
      <c r="J13" s="154"/>
      <c r="K13" s="154"/>
      <c r="L13" s="33"/>
      <c r="M13" s="33"/>
      <c r="N13" s="163"/>
      <c r="O13" s="154"/>
      <c r="P13" s="154"/>
      <c r="Q13" s="154"/>
      <c r="R13" s="33"/>
      <c r="S13" s="33"/>
      <c r="T13" s="33"/>
      <c r="U13" s="154"/>
      <c r="V13" s="33"/>
      <c r="W13" s="33"/>
      <c r="X13" s="33"/>
      <c r="Y13" s="154"/>
      <c r="Z13" s="163"/>
    </row>
    <row r="14" spans="1:29" x14ac:dyDescent="0.4">
      <c r="A14" s="9" t="s">
        <v>338</v>
      </c>
      <c r="D14" s="21">
        <v>1164401069.76</v>
      </c>
      <c r="E14" s="21"/>
      <c r="F14" s="21">
        <v>0</v>
      </c>
      <c r="G14" s="21"/>
      <c r="H14" s="21">
        <v>688264273.16999996</v>
      </c>
      <c r="I14" s="21"/>
      <c r="J14" s="21">
        <v>0</v>
      </c>
      <c r="K14" s="21"/>
      <c r="L14" s="21">
        <v>101508576.81</v>
      </c>
      <c r="M14" s="21"/>
      <c r="N14" s="21">
        <v>640369161.44000006</v>
      </c>
      <c r="O14" s="21"/>
      <c r="P14" s="21">
        <v>17740596.210000001</v>
      </c>
      <c r="Q14" s="21"/>
      <c r="R14" s="21">
        <v>0</v>
      </c>
      <c r="S14" s="21"/>
      <c r="T14" s="21">
        <f>SUM(P14:S14)</f>
        <v>17740596.210000001</v>
      </c>
      <c r="U14" s="21"/>
      <c r="V14" s="21">
        <f>SUM(D14:O14)+T14</f>
        <v>2612283677.3899999</v>
      </c>
      <c r="W14" s="21"/>
      <c r="X14" s="21">
        <v>62855854.490000002</v>
      </c>
      <c r="Y14" s="154"/>
      <c r="Z14" s="21">
        <f>SUM(V14:X14)</f>
        <v>2675139531.8799996</v>
      </c>
      <c r="AB14" s="154"/>
      <c r="AC14" s="154"/>
    </row>
    <row r="15" spans="1:29" ht="6.75" customHeight="1" x14ac:dyDescent="0.4">
      <c r="B15" s="13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154"/>
      <c r="Z15" s="21"/>
    </row>
    <row r="16" spans="1:29" x14ac:dyDescent="0.4">
      <c r="A16" s="9" t="s">
        <v>284</v>
      </c>
      <c r="B16" s="13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154"/>
      <c r="Z16" s="21"/>
    </row>
    <row r="17" spans="1:29" x14ac:dyDescent="0.4">
      <c r="A17" s="9" t="s">
        <v>274</v>
      </c>
      <c r="B17" s="13">
        <v>24</v>
      </c>
      <c r="D17" s="21">
        <v>0</v>
      </c>
      <c r="E17" s="14"/>
      <c r="F17" s="21">
        <v>0</v>
      </c>
      <c r="G17" s="21"/>
      <c r="H17" s="21">
        <v>0</v>
      </c>
      <c r="I17" s="14"/>
      <c r="J17" s="21">
        <v>0</v>
      </c>
      <c r="K17" s="21"/>
      <c r="L17" s="21">
        <v>0</v>
      </c>
      <c r="M17" s="21"/>
      <c r="N17" s="21">
        <v>-116437235.14</v>
      </c>
      <c r="O17" s="21"/>
      <c r="P17" s="21">
        <v>0</v>
      </c>
      <c r="Q17" s="21"/>
      <c r="R17" s="21">
        <v>0</v>
      </c>
      <c r="S17" s="21"/>
      <c r="T17" s="21">
        <f>SUM(P17:S17)</f>
        <v>0</v>
      </c>
      <c r="U17" s="21"/>
      <c r="V17" s="21">
        <f>SUM(D17:O17)+T17</f>
        <v>-116437235.14</v>
      </c>
      <c r="W17" s="21"/>
      <c r="X17" s="21">
        <v>0</v>
      </c>
      <c r="Y17" s="154"/>
      <c r="Z17" s="21">
        <f>SUM(V17:X17)</f>
        <v>-116437235.14</v>
      </c>
    </row>
    <row r="18" spans="1:29" x14ac:dyDescent="0.4">
      <c r="A18" s="9" t="s">
        <v>316</v>
      </c>
      <c r="B18" s="13">
        <v>27</v>
      </c>
      <c r="D18" s="21">
        <v>0</v>
      </c>
      <c r="E18" s="14"/>
      <c r="F18" s="21">
        <v>0</v>
      </c>
      <c r="G18" s="21"/>
      <c r="H18" s="21">
        <v>0</v>
      </c>
      <c r="I18" s="14"/>
      <c r="J18" s="21">
        <v>0</v>
      </c>
      <c r="K18" s="21"/>
      <c r="L18" s="21">
        <v>6294456.71</v>
      </c>
      <c r="M18" s="21"/>
      <c r="N18" s="21">
        <f>-L18</f>
        <v>-6294456.71</v>
      </c>
      <c r="O18" s="21"/>
      <c r="P18" s="21">
        <v>0</v>
      </c>
      <c r="Q18" s="21"/>
      <c r="R18" s="21">
        <v>0</v>
      </c>
      <c r="S18" s="21"/>
      <c r="T18" s="21">
        <f>SUM(P18:S18)</f>
        <v>0</v>
      </c>
      <c r="U18" s="21"/>
      <c r="V18" s="21">
        <f>SUM(D18:O18)+T18</f>
        <v>0</v>
      </c>
      <c r="W18" s="21"/>
      <c r="X18" s="21">
        <v>0</v>
      </c>
      <c r="Y18" s="154"/>
      <c r="Z18" s="21">
        <f>SUM(V18:X18)</f>
        <v>0</v>
      </c>
    </row>
    <row r="19" spans="1:29" x14ac:dyDescent="0.4">
      <c r="A19" s="9" t="s">
        <v>273</v>
      </c>
      <c r="D19" s="21">
        <v>0</v>
      </c>
      <c r="E19" s="21"/>
      <c r="F19" s="21">
        <v>0</v>
      </c>
      <c r="G19" s="21"/>
      <c r="H19" s="21">
        <v>0</v>
      </c>
      <c r="I19" s="21"/>
      <c r="J19" s="21">
        <v>0</v>
      </c>
      <c r="K19" s="21"/>
      <c r="L19" s="14">
        <v>0</v>
      </c>
      <c r="M19" s="14"/>
      <c r="N19" s="14">
        <f>+'PL_Q4-67'!H42</f>
        <v>387266252.05000001</v>
      </c>
      <c r="O19" s="21"/>
      <c r="P19" s="21">
        <v>-9983577.5999999996</v>
      </c>
      <c r="Q19" s="21"/>
      <c r="R19" s="14">
        <v>0</v>
      </c>
      <c r="S19" s="14"/>
      <c r="T19" s="14">
        <f>SUM(P19:S19)</f>
        <v>-9983577.5999999996</v>
      </c>
      <c r="U19" s="21"/>
      <c r="V19" s="21">
        <f>SUM(D19:O19)+T19</f>
        <v>377282674.44999999</v>
      </c>
      <c r="W19" s="21"/>
      <c r="X19" s="21">
        <v>-295977.14</v>
      </c>
      <c r="Y19" s="154"/>
      <c r="Z19" s="21">
        <f>SUM(V19:X19)</f>
        <v>376986697.31</v>
      </c>
      <c r="AB19" s="154">
        <f>N19-'PL_Q4-67'!H42</f>
        <v>0</v>
      </c>
    </row>
    <row r="20" spans="1:29" hidden="1" x14ac:dyDescent="0.4">
      <c r="A20" s="9" t="s">
        <v>307</v>
      </c>
      <c r="D20" s="21"/>
      <c r="E20" s="21"/>
      <c r="F20" s="21"/>
      <c r="G20" s="21"/>
      <c r="H20" s="21"/>
      <c r="I20" s="21"/>
      <c r="J20" s="21"/>
      <c r="K20" s="21"/>
      <c r="L20" s="14"/>
      <c r="M20" s="14"/>
      <c r="N20" s="14"/>
      <c r="O20" s="21"/>
      <c r="P20" s="21"/>
      <c r="Q20" s="21"/>
      <c r="R20" s="14"/>
      <c r="S20" s="14"/>
      <c r="T20" s="14"/>
      <c r="U20" s="21"/>
      <c r="V20" s="21"/>
      <c r="W20" s="21"/>
      <c r="X20" s="21"/>
      <c r="Y20" s="154"/>
      <c r="Z20" s="21"/>
      <c r="AB20" s="154"/>
    </row>
    <row r="21" spans="1:29" hidden="1" x14ac:dyDescent="0.4">
      <c r="A21" s="9" t="s">
        <v>308</v>
      </c>
      <c r="D21" s="21">
        <v>0</v>
      </c>
      <c r="E21" s="21"/>
      <c r="F21" s="21">
        <v>0</v>
      </c>
      <c r="G21" s="21"/>
      <c r="H21" s="21">
        <v>0</v>
      </c>
      <c r="I21" s="21"/>
      <c r="J21" s="21">
        <v>0</v>
      </c>
      <c r="K21" s="21"/>
      <c r="L21" s="14">
        <v>0</v>
      </c>
      <c r="M21" s="14"/>
      <c r="N21" s="14">
        <f>-R21</f>
        <v>0</v>
      </c>
      <c r="O21" s="21"/>
      <c r="P21" s="21">
        <f>+'PL_Q4-67'!F62</f>
        <v>0</v>
      </c>
      <c r="Q21" s="21"/>
      <c r="R21" s="14">
        <f>-R19</f>
        <v>0</v>
      </c>
      <c r="S21" s="14"/>
      <c r="T21" s="14">
        <f>SUM(P21:S21)</f>
        <v>0</v>
      </c>
      <c r="U21" s="21"/>
      <c r="V21" s="21">
        <f>SUM(D21:O21)+T21</f>
        <v>0</v>
      </c>
      <c r="W21" s="21"/>
      <c r="X21" s="21">
        <v>0</v>
      </c>
      <c r="Y21" s="154"/>
      <c r="Z21" s="21">
        <f>SUM(V21:X21)</f>
        <v>0</v>
      </c>
      <c r="AB21" s="154"/>
    </row>
    <row r="22" spans="1:29" ht="9.75" customHeight="1" x14ac:dyDescent="0.4">
      <c r="B22" s="13"/>
      <c r="D22" s="155"/>
      <c r="E22" s="154"/>
      <c r="F22" s="155"/>
      <c r="G22" s="21"/>
      <c r="H22" s="155"/>
      <c r="I22" s="154"/>
      <c r="J22" s="155"/>
      <c r="K22" s="21"/>
      <c r="L22" s="155"/>
      <c r="M22" s="164"/>
      <c r="N22" s="155"/>
      <c r="O22" s="21"/>
      <c r="P22" s="155"/>
      <c r="Q22" s="21"/>
      <c r="R22" s="155"/>
      <c r="S22" s="21"/>
      <c r="T22" s="155"/>
      <c r="U22" s="154"/>
      <c r="V22" s="155"/>
      <c r="W22" s="21"/>
      <c r="X22" s="155"/>
      <c r="Y22" s="154"/>
      <c r="Z22" s="155"/>
    </row>
    <row r="23" spans="1:29" ht="6" customHeight="1" x14ac:dyDescent="0.4"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21"/>
      <c r="W23" s="21"/>
      <c r="X23" s="21"/>
      <c r="Y23" s="154"/>
      <c r="Z23" s="154"/>
    </row>
    <row r="24" spans="1:29" ht="18.75" thickBot="1" x14ac:dyDescent="0.45">
      <c r="A24" s="9" t="s">
        <v>340</v>
      </c>
      <c r="D24" s="165">
        <f>SUM(D14:D23)</f>
        <v>1164401069.76</v>
      </c>
      <c r="E24" s="14"/>
      <c r="F24" s="165">
        <f>SUM(F14:F23)</f>
        <v>0</v>
      </c>
      <c r="G24" s="21"/>
      <c r="H24" s="165">
        <f>SUM(H14:H23)</f>
        <v>688264273.16999996</v>
      </c>
      <c r="I24" s="14"/>
      <c r="J24" s="165">
        <f>SUM(J14:J23)</f>
        <v>0</v>
      </c>
      <c r="K24" s="21"/>
      <c r="L24" s="165">
        <f>SUM(L14:L23)</f>
        <v>107803033.52</v>
      </c>
      <c r="M24" s="14"/>
      <c r="N24" s="165">
        <f>SUM(N14:N23)</f>
        <v>904903721.6400001</v>
      </c>
      <c r="O24" s="21"/>
      <c r="P24" s="165">
        <f>SUM(P14:P23)</f>
        <v>7757018.6100000013</v>
      </c>
      <c r="Q24" s="21"/>
      <c r="R24" s="165">
        <f>SUM(R14:R23)</f>
        <v>0</v>
      </c>
      <c r="S24" s="21"/>
      <c r="T24" s="165">
        <f>SUM(T14:T23)</f>
        <v>7757018.6100000013</v>
      </c>
      <c r="U24" s="14"/>
      <c r="V24" s="165">
        <f>SUM(V14:V23)</f>
        <v>2873129116.6999998</v>
      </c>
      <c r="W24" s="21"/>
      <c r="X24" s="165">
        <f>SUM(X14:X23)</f>
        <v>62559877.350000001</v>
      </c>
      <c r="Y24" s="154"/>
      <c r="Z24" s="165">
        <f>SUM(Z14:Z23)</f>
        <v>2935688994.0499997</v>
      </c>
      <c r="AB24" s="154">
        <f>Z24-'BS_Q4-67'!H120</f>
        <v>0</v>
      </c>
      <c r="AC24" s="154">
        <f>N24-'BS_Q4-67'!H116</f>
        <v>0</v>
      </c>
    </row>
    <row r="25" spans="1:29" ht="12" customHeight="1" thickTop="1" x14ac:dyDescent="0.4"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</row>
    <row r="26" spans="1:29" x14ac:dyDescent="0.4">
      <c r="A26" s="9" t="s">
        <v>359</v>
      </c>
      <c r="D26" s="21">
        <v>1164401069.76</v>
      </c>
      <c r="E26" s="21"/>
      <c r="F26" s="21">
        <v>0</v>
      </c>
      <c r="G26" s="21"/>
      <c r="H26" s="21">
        <v>688264273.16999996</v>
      </c>
      <c r="I26" s="21"/>
      <c r="J26" s="21">
        <v>0</v>
      </c>
      <c r="K26" s="21"/>
      <c r="L26" s="21">
        <v>107803033.52</v>
      </c>
      <c r="M26" s="21"/>
      <c r="N26" s="21">
        <v>904903721.64000022</v>
      </c>
      <c r="O26" s="21"/>
      <c r="P26" s="21">
        <v>7757018.6100000013</v>
      </c>
      <c r="Q26" s="21"/>
      <c r="R26" s="21">
        <v>0</v>
      </c>
      <c r="S26" s="21"/>
      <c r="T26" s="21">
        <f>SUM(P26:S26)</f>
        <v>7757018.6100000013</v>
      </c>
      <c r="U26" s="21"/>
      <c r="V26" s="21">
        <f>SUM(D26:O26)+T26</f>
        <v>2873129116.7000003</v>
      </c>
      <c r="W26" s="21"/>
      <c r="X26" s="21">
        <v>62559877.350000001</v>
      </c>
      <c r="Y26" s="154"/>
      <c r="Z26" s="21">
        <f>SUM(V26:X26)</f>
        <v>2935688994.0500002</v>
      </c>
      <c r="AB26" s="154">
        <f>Z26-'BS_Q4-67'!H120</f>
        <v>0</v>
      </c>
    </row>
    <row r="27" spans="1:29" ht="9" customHeight="1" x14ac:dyDescent="0.4">
      <c r="B27" s="13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154"/>
      <c r="Z27" s="21"/>
    </row>
    <row r="28" spans="1:29" x14ac:dyDescent="0.4">
      <c r="A28" s="9" t="s">
        <v>284</v>
      </c>
      <c r="B28" s="13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154"/>
      <c r="Z28" s="21"/>
    </row>
    <row r="29" spans="1:29" x14ac:dyDescent="0.4">
      <c r="A29" s="9" t="s">
        <v>315</v>
      </c>
      <c r="B29" s="13">
        <v>25</v>
      </c>
      <c r="D29" s="21">
        <v>185701489.12</v>
      </c>
      <c r="E29" s="14"/>
      <c r="F29" s="21">
        <v>0</v>
      </c>
      <c r="G29" s="21"/>
      <c r="H29" s="21">
        <v>656640465.54999995</v>
      </c>
      <c r="I29" s="14"/>
      <c r="J29" s="21">
        <v>0</v>
      </c>
      <c r="K29" s="21"/>
      <c r="L29" s="21">
        <v>0</v>
      </c>
      <c r="M29" s="21"/>
      <c r="N29" s="21">
        <v>0</v>
      </c>
      <c r="O29" s="21"/>
      <c r="P29" s="21">
        <v>0</v>
      </c>
      <c r="Q29" s="21"/>
      <c r="R29" s="21">
        <v>0</v>
      </c>
      <c r="S29" s="21"/>
      <c r="T29" s="21">
        <f t="shared" ref="T29" si="0">SUM(P29:S29)</f>
        <v>0</v>
      </c>
      <c r="U29" s="21"/>
      <c r="V29" s="21">
        <f t="shared" ref="V29" si="1">SUM(D29:O29)+T29</f>
        <v>842341954.66999996</v>
      </c>
      <c r="W29" s="21"/>
      <c r="X29" s="21">
        <v>0</v>
      </c>
      <c r="Y29" s="154"/>
      <c r="Z29" s="21">
        <f t="shared" ref="Z29" si="2">SUM(V29:X29)</f>
        <v>842341954.66999996</v>
      </c>
    </row>
    <row r="30" spans="1:29" x14ac:dyDescent="0.4">
      <c r="A30" s="9" t="s">
        <v>274</v>
      </c>
      <c r="B30" s="13">
        <v>24</v>
      </c>
      <c r="D30" s="21">
        <v>0</v>
      </c>
      <c r="E30" s="14"/>
      <c r="F30" s="21">
        <v>0</v>
      </c>
      <c r="G30" s="21"/>
      <c r="H30" s="21">
        <v>0</v>
      </c>
      <c r="I30" s="14"/>
      <c r="J30" s="21">
        <v>0</v>
      </c>
      <c r="K30" s="21"/>
      <c r="L30" s="21">
        <v>0</v>
      </c>
      <c r="M30" s="21"/>
      <c r="N30" s="21">
        <v>-247731674.69</v>
      </c>
      <c r="O30" s="21"/>
      <c r="P30" s="21">
        <v>0</v>
      </c>
      <c r="Q30" s="21"/>
      <c r="R30" s="21">
        <v>0</v>
      </c>
      <c r="S30" s="21"/>
      <c r="T30" s="21">
        <f>SUM(P30:S30)</f>
        <v>0</v>
      </c>
      <c r="U30" s="21"/>
      <c r="V30" s="21">
        <f>SUM(D30:O30)+T30</f>
        <v>-247731674.69</v>
      </c>
      <c r="W30" s="21"/>
      <c r="X30" s="21">
        <v>0</v>
      </c>
      <c r="Y30" s="154"/>
      <c r="Z30" s="21">
        <f>SUM(V30:X30)</f>
        <v>-247731674.69</v>
      </c>
    </row>
    <row r="31" spans="1:29" x14ac:dyDescent="0.4">
      <c r="A31" s="9" t="s">
        <v>316</v>
      </c>
      <c r="B31" s="13">
        <v>27</v>
      </c>
      <c r="D31" s="21">
        <v>0</v>
      </c>
      <c r="E31" s="14"/>
      <c r="F31" s="21">
        <v>0</v>
      </c>
      <c r="G31" s="21"/>
      <c r="H31" s="21">
        <v>0</v>
      </c>
      <c r="I31" s="14"/>
      <c r="J31" s="21">
        <v>0</v>
      </c>
      <c r="K31" s="21"/>
      <c r="L31" s="21">
        <v>4149128.17</v>
      </c>
      <c r="M31" s="21"/>
      <c r="N31" s="21">
        <f>-L31</f>
        <v>-4149128.17</v>
      </c>
      <c r="O31" s="21"/>
      <c r="P31" s="21">
        <v>0</v>
      </c>
      <c r="Q31" s="21"/>
      <c r="R31" s="21">
        <v>0</v>
      </c>
      <c r="S31" s="21"/>
      <c r="T31" s="21">
        <f>SUM(P31:S31)</f>
        <v>0</v>
      </c>
      <c r="U31" s="21"/>
      <c r="V31" s="21">
        <f>SUM(D31:O31)+T31</f>
        <v>0</v>
      </c>
      <c r="W31" s="21"/>
      <c r="X31" s="21">
        <v>0</v>
      </c>
      <c r="Y31" s="154"/>
      <c r="Z31" s="21">
        <f>SUM(V31:X31)</f>
        <v>0</v>
      </c>
    </row>
    <row r="32" spans="1:29" x14ac:dyDescent="0.4">
      <c r="A32" s="9" t="s">
        <v>273</v>
      </c>
      <c r="D32" s="21">
        <v>0</v>
      </c>
      <c r="E32" s="21"/>
      <c r="F32" s="21">
        <v>0</v>
      </c>
      <c r="G32" s="21"/>
      <c r="H32" s="21">
        <v>0</v>
      </c>
      <c r="I32" s="21"/>
      <c r="J32" s="21">
        <v>0</v>
      </c>
      <c r="K32" s="21"/>
      <c r="L32" s="14">
        <v>0</v>
      </c>
      <c r="M32" s="14"/>
      <c r="N32" s="14">
        <f>+'PL_Q4-67'!F42</f>
        <v>169078038.98000002</v>
      </c>
      <c r="O32" s="21"/>
      <c r="P32" s="21">
        <f>+'PL_Q4-67'!F73</f>
        <v>-1390317.88</v>
      </c>
      <c r="Q32" s="21"/>
      <c r="R32" s="14">
        <v>0</v>
      </c>
      <c r="S32" s="14"/>
      <c r="T32" s="14">
        <f>SUM(P32:S32)</f>
        <v>-1390317.88</v>
      </c>
      <c r="U32" s="21"/>
      <c r="V32" s="21">
        <f>SUM(D32:O32)+T32</f>
        <v>167687721.10000002</v>
      </c>
      <c r="W32" s="21"/>
      <c r="X32" s="21">
        <f>+'PL_Q4-67'!F43</f>
        <v>-419470.45</v>
      </c>
      <c r="Y32" s="154"/>
      <c r="Z32" s="21">
        <f>SUM(V32:X32)</f>
        <v>167268250.65000004</v>
      </c>
    </row>
    <row r="33" spans="1:30" hidden="1" x14ac:dyDescent="0.4">
      <c r="A33" s="9" t="s">
        <v>307</v>
      </c>
      <c r="D33" s="21"/>
      <c r="E33" s="21"/>
      <c r="F33" s="21"/>
      <c r="G33" s="21"/>
      <c r="H33" s="21"/>
      <c r="I33" s="21"/>
      <c r="J33" s="21"/>
      <c r="K33" s="21"/>
      <c r="L33" s="14"/>
      <c r="M33" s="14"/>
      <c r="N33" s="14"/>
      <c r="O33" s="21"/>
      <c r="P33" s="21"/>
      <c r="Q33" s="21"/>
      <c r="R33" s="14"/>
      <c r="S33" s="14"/>
      <c r="T33" s="14"/>
      <c r="U33" s="21"/>
      <c r="V33" s="21"/>
      <c r="W33" s="21"/>
      <c r="X33" s="21"/>
      <c r="Y33" s="154"/>
      <c r="Z33" s="21"/>
    </row>
    <row r="34" spans="1:30" hidden="1" x14ac:dyDescent="0.4">
      <c r="A34" s="9" t="s">
        <v>308</v>
      </c>
      <c r="D34" s="21">
        <v>0</v>
      </c>
      <c r="E34" s="21"/>
      <c r="F34" s="21">
        <v>0</v>
      </c>
      <c r="G34" s="21"/>
      <c r="H34" s="21">
        <v>0</v>
      </c>
      <c r="I34" s="21"/>
      <c r="J34" s="21">
        <v>0</v>
      </c>
      <c r="K34" s="21"/>
      <c r="L34" s="14">
        <v>0</v>
      </c>
      <c r="M34" s="14"/>
      <c r="N34" s="14">
        <f>-R34</f>
        <v>0</v>
      </c>
      <c r="O34" s="21"/>
      <c r="P34" s="21">
        <v>0</v>
      </c>
      <c r="Q34" s="21"/>
      <c r="R34" s="14">
        <f>-R32</f>
        <v>0</v>
      </c>
      <c r="S34" s="14"/>
      <c r="T34" s="14">
        <f>SUM(P34:S34)</f>
        <v>0</v>
      </c>
      <c r="U34" s="21"/>
      <c r="V34" s="21">
        <f>SUM(D34:O34)+T34</f>
        <v>0</v>
      </c>
      <c r="W34" s="21"/>
      <c r="X34" s="21">
        <v>0</v>
      </c>
      <c r="Y34" s="154"/>
      <c r="Z34" s="21">
        <f>SUM(V34:X34)</f>
        <v>0</v>
      </c>
    </row>
    <row r="35" spans="1:30" ht="9.75" customHeight="1" x14ac:dyDescent="0.4">
      <c r="B35" s="13"/>
      <c r="D35" s="155"/>
      <c r="E35" s="154"/>
      <c r="F35" s="155"/>
      <c r="G35" s="21"/>
      <c r="H35" s="155"/>
      <c r="I35" s="154"/>
      <c r="J35" s="155"/>
      <c r="K35" s="21"/>
      <c r="L35" s="155"/>
      <c r="M35" s="164"/>
      <c r="N35" s="155"/>
      <c r="O35" s="21"/>
      <c r="P35" s="155"/>
      <c r="Q35" s="21"/>
      <c r="R35" s="155"/>
      <c r="S35" s="21"/>
      <c r="T35" s="155"/>
      <c r="U35" s="154"/>
      <c r="V35" s="155"/>
      <c r="W35" s="21"/>
      <c r="X35" s="155"/>
      <c r="Y35" s="154"/>
      <c r="Z35" s="155"/>
    </row>
    <row r="36" spans="1:30" ht="6" customHeight="1" x14ac:dyDescent="0.4"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21"/>
      <c r="W36" s="21"/>
      <c r="X36" s="21"/>
      <c r="Y36" s="154"/>
      <c r="Z36" s="154"/>
    </row>
    <row r="37" spans="1:30" ht="18.75" thickBot="1" x14ac:dyDescent="0.45">
      <c r="A37" s="9" t="s">
        <v>360</v>
      </c>
      <c r="D37" s="165">
        <f>SUM(D26:D36)</f>
        <v>1350102558.8800001</v>
      </c>
      <c r="E37" s="14"/>
      <c r="F37" s="165">
        <f>SUM(F26:F36)</f>
        <v>0</v>
      </c>
      <c r="G37" s="21"/>
      <c r="H37" s="165">
        <f>SUM(H26:H36)</f>
        <v>1344904738.7199998</v>
      </c>
      <c r="I37" s="14"/>
      <c r="J37" s="165">
        <f>SUM(J26:J36)</f>
        <v>0</v>
      </c>
      <c r="K37" s="21"/>
      <c r="L37" s="165">
        <f>SUM(L26:L36)</f>
        <v>111952161.69</v>
      </c>
      <c r="M37" s="14"/>
      <c r="N37" s="165">
        <f>SUM(N26:N36)</f>
        <v>822100957.76000035</v>
      </c>
      <c r="O37" s="21"/>
      <c r="P37" s="165">
        <f>SUM(P26:P36)</f>
        <v>6366700.7300000014</v>
      </c>
      <c r="Q37" s="21"/>
      <c r="R37" s="165">
        <f>SUM(R26:R36)</f>
        <v>0</v>
      </c>
      <c r="S37" s="21"/>
      <c r="T37" s="165">
        <f>SUM(T26:T36)</f>
        <v>6366700.7300000014</v>
      </c>
      <c r="U37" s="14"/>
      <c r="V37" s="165">
        <f>SUM(V26:V36)</f>
        <v>3635427117.7800002</v>
      </c>
      <c r="W37" s="21"/>
      <c r="X37" s="165">
        <f>SUM(X26:X36)</f>
        <v>62140406.899999999</v>
      </c>
      <c r="Y37" s="154"/>
      <c r="Z37" s="165">
        <f>SUM(Z26:Z36)</f>
        <v>3697567524.6800003</v>
      </c>
      <c r="AB37" s="18">
        <f>Z37-'BS_Q4-67'!F120</f>
        <v>0</v>
      </c>
      <c r="AC37" s="154">
        <f>N37-'BS_Q4-67'!F116</f>
        <v>0</v>
      </c>
      <c r="AD37" s="154">
        <f>L37-'BS_Q4-67'!F115</f>
        <v>0</v>
      </c>
    </row>
    <row r="38" spans="1:30" ht="18.75" thickTop="1" x14ac:dyDescent="0.4"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B38" s="154">
        <f>N37-'BS_Q4-67'!F116</f>
        <v>0</v>
      </c>
    </row>
    <row r="39" spans="1:30" x14ac:dyDescent="0.4">
      <c r="A39" s="9" t="s">
        <v>271</v>
      </c>
    </row>
    <row r="40" spans="1:30" x14ac:dyDescent="0.4">
      <c r="A40" s="128"/>
    </row>
    <row r="42" spans="1:30" s="3" customFormat="1" x14ac:dyDescent="0.4">
      <c r="A42" s="24" t="s">
        <v>145</v>
      </c>
      <c r="C42" s="13"/>
      <c r="D42" s="24"/>
      <c r="E42" s="13"/>
      <c r="F42" s="13"/>
      <c r="G42" s="13"/>
      <c r="H42" s="13"/>
      <c r="I42" s="13"/>
      <c r="K42" s="24"/>
      <c r="L42" s="24"/>
      <c r="M42" s="24"/>
      <c r="N42" s="24"/>
      <c r="O42" s="24"/>
      <c r="P42" s="24"/>
      <c r="Q42" s="24"/>
      <c r="R42" s="24" t="s">
        <v>145</v>
      </c>
      <c r="S42" s="24"/>
      <c r="T42" s="24" t="s">
        <v>145</v>
      </c>
      <c r="U42" s="13"/>
      <c r="V42" s="13"/>
      <c r="W42" s="13"/>
      <c r="X42" s="13"/>
      <c r="Y42" s="13"/>
      <c r="AB42" s="7"/>
    </row>
    <row r="43" spans="1:30" s="3" customFormat="1" x14ac:dyDescent="0.4">
      <c r="A43" s="221"/>
      <c r="B43" s="221"/>
      <c r="D43" s="24"/>
      <c r="E43" s="24"/>
      <c r="F43" s="24"/>
      <c r="G43" s="24"/>
      <c r="H43" s="24"/>
      <c r="I43" s="24"/>
      <c r="J43" s="24"/>
      <c r="K43" s="24"/>
      <c r="L43" s="13"/>
      <c r="M43" s="24"/>
      <c r="N43" s="13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AB43" s="7"/>
    </row>
    <row r="44" spans="1:30" x14ac:dyDescent="0.4">
      <c r="A44" s="25"/>
    </row>
  </sheetData>
  <mergeCells count="9">
    <mergeCell ref="X1:Z1"/>
    <mergeCell ref="A43:B43"/>
    <mergeCell ref="A2:Z2"/>
    <mergeCell ref="A5:Z5"/>
    <mergeCell ref="A4:Z4"/>
    <mergeCell ref="L8:N8"/>
    <mergeCell ref="P8:T8"/>
    <mergeCell ref="D7:Z7"/>
    <mergeCell ref="A3:Z3"/>
  </mergeCells>
  <phoneticPr fontId="0" type="noConversion"/>
  <pageMargins left="0.74803149606299202" right="0.5" top="0.23622047244094499" bottom="0.40748031499999998" header="0.43307086614173201" footer="0.511811023622047"/>
  <pageSetup paperSize="9" scale="88" orientation="landscape" r:id="rId1"/>
  <headerFooter alignWithMargins="0">
    <oddFooter>&amp;C4</oddFooter>
  </headerFooter>
  <colBreaks count="1" manualBreakCount="1">
    <brk id="26" max="42" man="1"/>
  </colBreaks>
  <ignoredErrors>
    <ignoredError sqref="V30 V15:V16 V26:V2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41"/>
  <sheetViews>
    <sheetView view="pageBreakPreview" topLeftCell="A10" zoomScaleNormal="100" zoomScaleSheetLayoutView="100" workbookViewId="0">
      <selection activeCell="B30" sqref="B30"/>
    </sheetView>
  </sheetViews>
  <sheetFormatPr defaultColWidth="9.140625" defaultRowHeight="21" x14ac:dyDescent="0.45"/>
  <cols>
    <col min="1" max="1" width="41.140625" style="84" customWidth="1"/>
    <col min="2" max="2" width="4.85546875" style="84" customWidth="1"/>
    <col min="3" max="3" width="1.42578125" style="84" customWidth="1"/>
    <col min="4" max="4" width="15" style="84" customWidth="1"/>
    <col min="5" max="5" width="1.42578125" style="84" customWidth="1"/>
    <col min="6" max="6" width="14.42578125" style="84" hidden="1" customWidth="1"/>
    <col min="7" max="7" width="1.5703125" style="84" hidden="1" customWidth="1"/>
    <col min="8" max="8" width="15.42578125" style="84" customWidth="1"/>
    <col min="9" max="9" width="1.140625" style="84" hidden="1" customWidth="1"/>
    <col min="10" max="10" width="14.140625" style="84" hidden="1" customWidth="1"/>
    <col min="11" max="11" width="1.42578125" style="84" hidden="1" customWidth="1"/>
    <col min="12" max="12" width="12.140625" style="84" hidden="1" customWidth="1"/>
    <col min="13" max="13" width="1.42578125" style="84" hidden="1" customWidth="1"/>
    <col min="14" max="14" width="11.85546875" style="84" hidden="1" customWidth="1"/>
    <col min="15" max="15" width="1.42578125" style="84" hidden="1" customWidth="1"/>
    <col min="16" max="16" width="11.85546875" style="84" hidden="1" customWidth="1"/>
    <col min="17" max="17" width="1.42578125" style="84" customWidth="1"/>
    <col min="18" max="18" width="14.140625" style="84" customWidth="1"/>
    <col min="19" max="19" width="1.42578125" style="84" customWidth="1"/>
    <col min="20" max="20" width="15" style="84" bestFit="1" customWidth="1"/>
    <col min="21" max="21" width="1.140625" style="84" hidden="1" customWidth="1"/>
    <col min="22" max="22" width="21.85546875" style="84" hidden="1" customWidth="1"/>
    <col min="23" max="23" width="1.42578125" style="84" customWidth="1"/>
    <col min="24" max="24" width="15.140625" style="84" customWidth="1"/>
    <col min="25" max="25" width="12.85546875" style="84" bestFit="1" customWidth="1"/>
    <col min="26" max="26" width="10.5703125" style="84" bestFit="1" customWidth="1"/>
    <col min="27" max="16384" width="9.140625" style="84"/>
  </cols>
  <sheetData>
    <row r="1" spans="1:26" ht="21.75" customHeight="1" x14ac:dyDescent="0.45">
      <c r="A1" s="130"/>
      <c r="V1" s="232"/>
      <c r="W1" s="232"/>
      <c r="X1" s="232"/>
    </row>
    <row r="2" spans="1:26" ht="6.75" customHeight="1" x14ac:dyDescent="0.45">
      <c r="X2" s="129"/>
    </row>
    <row r="3" spans="1:26" x14ac:dyDescent="0.45">
      <c r="A3" s="234" t="str">
        <f>'Changed-Conso'!A2</f>
        <v>THE BROOKER GROUP PUBLIC COMPANY LIMITED AND ITS SUBSIDIARIES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134"/>
    </row>
    <row r="4" spans="1:26" x14ac:dyDescent="0.45">
      <c r="A4" s="235" t="str">
        <f>'Changed-Conso'!A3</f>
        <v>STATEMENTS OF CHANGES IN SHAREHOLDERS' EQUITY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</row>
    <row r="5" spans="1:26" x14ac:dyDescent="0.45">
      <c r="A5" s="235" t="s">
        <v>207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</row>
    <row r="6" spans="1:26" x14ac:dyDescent="0.45">
      <c r="A6" s="235" t="s">
        <v>358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</row>
    <row r="7" spans="1:26" x14ac:dyDescent="0.45">
      <c r="D7" s="233" t="s">
        <v>214</v>
      </c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</row>
    <row r="8" spans="1:26" x14ac:dyDescent="0.45">
      <c r="B8" s="82"/>
      <c r="C8" s="82"/>
      <c r="D8" s="131"/>
      <c r="E8" s="131"/>
      <c r="F8" s="173"/>
      <c r="G8" s="173"/>
      <c r="H8" s="173"/>
      <c r="I8" s="131"/>
      <c r="J8" s="82" t="s">
        <v>295</v>
      </c>
      <c r="K8" s="131"/>
      <c r="L8" s="135" t="s">
        <v>193</v>
      </c>
      <c r="M8" s="136"/>
      <c r="N8" s="136"/>
      <c r="O8" s="136"/>
      <c r="P8" s="136"/>
      <c r="Q8" s="136"/>
      <c r="R8" s="231" t="s">
        <v>219</v>
      </c>
      <c r="S8" s="231"/>
      <c r="T8" s="231"/>
      <c r="U8" s="81"/>
      <c r="V8" s="81" t="s">
        <v>281</v>
      </c>
      <c r="W8" s="81"/>
    </row>
    <row r="9" spans="1:26" x14ac:dyDescent="0.45">
      <c r="D9" s="82" t="s">
        <v>202</v>
      </c>
      <c r="E9" s="136"/>
      <c r="F9" s="173"/>
      <c r="G9" s="173"/>
      <c r="H9" s="82" t="s">
        <v>293</v>
      </c>
      <c r="I9" s="136"/>
      <c r="J9" s="82" t="s">
        <v>296</v>
      </c>
      <c r="K9" s="136"/>
      <c r="L9" s="135" t="s">
        <v>192</v>
      </c>
      <c r="M9" s="135"/>
      <c r="N9" s="135" t="s">
        <v>195</v>
      </c>
      <c r="O9" s="135"/>
      <c r="P9" s="135" t="s">
        <v>170</v>
      </c>
      <c r="Q9" s="136"/>
      <c r="V9" s="180" t="s">
        <v>230</v>
      </c>
      <c r="W9" s="81"/>
    </row>
    <row r="10" spans="1:26" x14ac:dyDescent="0.45">
      <c r="D10" s="82" t="s">
        <v>167</v>
      </c>
      <c r="E10" s="137"/>
      <c r="F10" s="173"/>
      <c r="G10" s="173"/>
      <c r="H10" s="82" t="s">
        <v>294</v>
      </c>
      <c r="I10" s="137"/>
      <c r="J10" s="173" t="s">
        <v>297</v>
      </c>
      <c r="K10" s="135"/>
      <c r="L10" s="135" t="s">
        <v>177</v>
      </c>
      <c r="M10" s="135"/>
      <c r="N10" s="93" t="s">
        <v>196</v>
      </c>
      <c r="O10" s="135"/>
      <c r="P10" s="135" t="s">
        <v>171</v>
      </c>
      <c r="Q10" s="136"/>
      <c r="R10" s="82" t="s">
        <v>174</v>
      </c>
      <c r="S10" s="138"/>
      <c r="T10" s="79"/>
      <c r="U10" s="79"/>
      <c r="V10" s="140" t="s">
        <v>282</v>
      </c>
      <c r="W10" s="79"/>
    </row>
    <row r="11" spans="1:26" x14ac:dyDescent="0.45">
      <c r="B11" s="146" t="s">
        <v>220</v>
      </c>
      <c r="D11" s="92" t="s">
        <v>168</v>
      </c>
      <c r="E11" s="139"/>
      <c r="F11" s="172" t="s">
        <v>245</v>
      </c>
      <c r="G11" s="93"/>
      <c r="H11" s="92" t="s">
        <v>169</v>
      </c>
      <c r="I11" s="139"/>
      <c r="J11" s="92" t="s">
        <v>298</v>
      </c>
      <c r="K11" s="140"/>
      <c r="L11" s="180" t="s">
        <v>178</v>
      </c>
      <c r="M11" s="140"/>
      <c r="N11" s="180" t="s">
        <v>197</v>
      </c>
      <c r="O11" s="140"/>
      <c r="P11" s="180" t="s">
        <v>172</v>
      </c>
      <c r="Q11" s="136"/>
      <c r="R11" s="92" t="s">
        <v>175</v>
      </c>
      <c r="S11" s="138"/>
      <c r="T11" s="92" t="s">
        <v>155</v>
      </c>
      <c r="U11" s="82"/>
      <c r="V11" s="180" t="s">
        <v>283</v>
      </c>
      <c r="W11" s="81"/>
      <c r="X11" s="92" t="s">
        <v>176</v>
      </c>
    </row>
    <row r="12" spans="1:26" x14ac:dyDescent="0.45">
      <c r="C12" s="140"/>
      <c r="F12" s="149"/>
      <c r="G12" s="174"/>
      <c r="R12" s="81"/>
      <c r="S12" s="140"/>
      <c r="T12" s="141"/>
      <c r="U12" s="141"/>
      <c r="V12" s="141"/>
      <c r="W12" s="139"/>
      <c r="X12" s="141"/>
    </row>
    <row r="13" spans="1:26" x14ac:dyDescent="0.45">
      <c r="A13" s="80" t="s">
        <v>338</v>
      </c>
      <c r="B13" s="176"/>
      <c r="D13" s="131">
        <v>1164401069.76</v>
      </c>
      <c r="E13" s="131"/>
      <c r="F13" s="131">
        <v>0</v>
      </c>
      <c r="G13" s="131"/>
      <c r="H13" s="131">
        <v>688264273.16999996</v>
      </c>
      <c r="I13" s="131"/>
      <c r="J13" s="131">
        <v>0</v>
      </c>
      <c r="K13" s="131"/>
      <c r="L13" s="136">
        <v>0</v>
      </c>
      <c r="M13" s="131"/>
      <c r="N13" s="131">
        <v>0</v>
      </c>
      <c r="O13" s="131"/>
      <c r="P13" s="131">
        <v>0</v>
      </c>
      <c r="Q13" s="131"/>
      <c r="R13" s="131">
        <v>101508576.81</v>
      </c>
      <c r="S13" s="131"/>
      <c r="T13" s="131">
        <v>972483609.41999996</v>
      </c>
      <c r="U13" s="131"/>
      <c r="V13" s="131">
        <v>0</v>
      </c>
      <c r="W13" s="131"/>
      <c r="X13" s="131">
        <f>SUM(D13:V13)</f>
        <v>2926657529.1599998</v>
      </c>
      <c r="Y13" s="162"/>
      <c r="Z13" s="136"/>
    </row>
    <row r="14" spans="1:26" ht="9" customHeight="1" x14ac:dyDescent="0.45"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131"/>
      <c r="T14" s="131"/>
      <c r="U14" s="131"/>
      <c r="V14" s="21"/>
      <c r="W14" s="131"/>
      <c r="X14" s="131"/>
      <c r="Z14" s="136"/>
    </row>
    <row r="15" spans="1:26" x14ac:dyDescent="0.45">
      <c r="A15" s="84" t="s">
        <v>285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131"/>
      <c r="T15" s="131"/>
      <c r="U15" s="131"/>
      <c r="V15" s="21"/>
      <c r="W15" s="131"/>
      <c r="X15" s="131"/>
      <c r="Z15" s="136"/>
    </row>
    <row r="16" spans="1:26" x14ac:dyDescent="0.45">
      <c r="A16" s="150" t="s">
        <v>313</v>
      </c>
      <c r="B16" s="175">
        <v>24</v>
      </c>
      <c r="C16" s="136"/>
      <c r="D16" s="136">
        <v>0</v>
      </c>
      <c r="E16" s="136"/>
      <c r="F16" s="136">
        <v>0</v>
      </c>
      <c r="G16" s="136"/>
      <c r="H16" s="136">
        <v>0</v>
      </c>
      <c r="I16" s="136"/>
      <c r="J16" s="136">
        <v>0</v>
      </c>
      <c r="K16" s="136"/>
      <c r="L16" s="136">
        <v>0</v>
      </c>
      <c r="M16" s="136"/>
      <c r="N16" s="131">
        <v>0</v>
      </c>
      <c r="O16" s="136"/>
      <c r="P16" s="136">
        <v>0</v>
      </c>
      <c r="Q16" s="136"/>
      <c r="R16" s="136">
        <v>0</v>
      </c>
      <c r="S16" s="136"/>
      <c r="T16" s="136">
        <v>-116437235.14</v>
      </c>
      <c r="U16" s="136"/>
      <c r="V16" s="136">
        <v>0</v>
      </c>
      <c r="W16" s="136"/>
      <c r="X16" s="131">
        <f>SUM(D16:V16)</f>
        <v>-116437235.14</v>
      </c>
    </row>
    <row r="17" spans="1:26" x14ac:dyDescent="0.45">
      <c r="A17" s="84" t="s">
        <v>270</v>
      </c>
      <c r="B17" s="175">
        <v>27</v>
      </c>
      <c r="C17" s="136"/>
      <c r="D17" s="136">
        <v>0</v>
      </c>
      <c r="E17" s="136"/>
      <c r="F17" s="136">
        <v>0</v>
      </c>
      <c r="G17" s="136"/>
      <c r="H17" s="136">
        <v>0</v>
      </c>
      <c r="I17" s="136"/>
      <c r="J17" s="136">
        <v>0</v>
      </c>
      <c r="K17" s="136"/>
      <c r="L17" s="136">
        <v>0</v>
      </c>
      <c r="M17" s="136"/>
      <c r="N17" s="131">
        <v>0</v>
      </c>
      <c r="O17" s="136"/>
      <c r="P17" s="136">
        <v>0</v>
      </c>
      <c r="Q17" s="136"/>
      <c r="R17" s="136">
        <v>6294456.71</v>
      </c>
      <c r="S17" s="136"/>
      <c r="T17" s="136">
        <f>-R17</f>
        <v>-6294456.71</v>
      </c>
      <c r="U17" s="136"/>
      <c r="V17" s="136">
        <v>0</v>
      </c>
      <c r="W17" s="136"/>
      <c r="X17" s="131">
        <f>SUM(D17:V17)</f>
        <v>0</v>
      </c>
      <c r="Y17" s="136"/>
      <c r="Z17" s="131"/>
    </row>
    <row r="18" spans="1:26" x14ac:dyDescent="0.45">
      <c r="A18" s="151" t="s">
        <v>273</v>
      </c>
      <c r="B18" s="136"/>
      <c r="C18" s="136"/>
      <c r="D18" s="131">
        <v>0</v>
      </c>
      <c r="E18" s="131"/>
      <c r="F18" s="131">
        <v>0</v>
      </c>
      <c r="G18" s="131"/>
      <c r="H18" s="131">
        <v>0</v>
      </c>
      <c r="I18" s="131"/>
      <c r="J18" s="131">
        <v>0</v>
      </c>
      <c r="K18" s="131"/>
      <c r="L18" s="131">
        <v>0</v>
      </c>
      <c r="M18" s="131"/>
      <c r="N18" s="131">
        <v>0</v>
      </c>
      <c r="O18" s="131"/>
      <c r="P18" s="131">
        <v>0</v>
      </c>
      <c r="Q18" s="131"/>
      <c r="R18" s="131">
        <v>0</v>
      </c>
      <c r="S18" s="131"/>
      <c r="T18" s="131">
        <f>+'PL_Q4-67'!L42</f>
        <v>95020404.100000009</v>
      </c>
      <c r="U18" s="131"/>
      <c r="V18" s="131">
        <f>-V20</f>
        <v>0</v>
      </c>
      <c r="W18" s="131"/>
      <c r="X18" s="131">
        <f>SUM(D18:V18)</f>
        <v>95020404.100000009</v>
      </c>
      <c r="Y18" s="162">
        <f>T18-'PL_Q4-67'!L44</f>
        <v>0</v>
      </c>
    </row>
    <row r="19" spans="1:26" hidden="1" x14ac:dyDescent="0.45">
      <c r="A19" s="84" t="s">
        <v>307</v>
      </c>
      <c r="B19" s="136"/>
      <c r="C19" s="136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62"/>
    </row>
    <row r="20" spans="1:26" hidden="1" x14ac:dyDescent="0.45">
      <c r="A20" s="84" t="s">
        <v>308</v>
      </c>
      <c r="B20" s="136"/>
      <c r="C20" s="136"/>
      <c r="D20" s="131">
        <v>0</v>
      </c>
      <c r="E20" s="131"/>
      <c r="F20" s="131">
        <v>0</v>
      </c>
      <c r="G20" s="131"/>
      <c r="H20" s="131">
        <v>0</v>
      </c>
      <c r="I20" s="131"/>
      <c r="J20" s="131">
        <v>0</v>
      </c>
      <c r="K20" s="131"/>
      <c r="L20" s="131">
        <v>0</v>
      </c>
      <c r="M20" s="131"/>
      <c r="N20" s="131">
        <v>0</v>
      </c>
      <c r="O20" s="131"/>
      <c r="P20" s="131">
        <v>0</v>
      </c>
      <c r="Q20" s="131"/>
      <c r="R20" s="131">
        <v>0</v>
      </c>
      <c r="S20" s="131"/>
      <c r="T20" s="131">
        <v>0</v>
      </c>
      <c r="U20" s="131"/>
      <c r="V20" s="131">
        <f>-T20</f>
        <v>0</v>
      </c>
      <c r="W20" s="131"/>
      <c r="X20" s="131">
        <f>SUM(D20:V20)</f>
        <v>0</v>
      </c>
      <c r="Y20" s="162"/>
    </row>
    <row r="21" spans="1:26" ht="8.25" customHeight="1" x14ac:dyDescent="0.45">
      <c r="B21" s="176"/>
      <c r="D21" s="160"/>
      <c r="E21" s="136"/>
      <c r="F21" s="160"/>
      <c r="G21" s="131"/>
      <c r="H21" s="160"/>
      <c r="I21" s="136"/>
      <c r="J21" s="160"/>
      <c r="K21" s="131"/>
      <c r="L21" s="160"/>
      <c r="M21" s="131"/>
      <c r="N21" s="160"/>
      <c r="O21" s="131"/>
      <c r="P21" s="160"/>
      <c r="Q21" s="136"/>
      <c r="R21" s="160"/>
      <c r="S21" s="136"/>
      <c r="T21" s="160"/>
      <c r="U21" s="131"/>
      <c r="V21" s="160"/>
      <c r="W21" s="131"/>
      <c r="X21" s="160"/>
    </row>
    <row r="22" spans="1:26" ht="21.75" thickBot="1" x14ac:dyDescent="0.5">
      <c r="A22" s="80" t="s">
        <v>339</v>
      </c>
      <c r="B22" s="176"/>
      <c r="D22" s="161">
        <f>SUM(D13:D21)</f>
        <v>1164401069.76</v>
      </c>
      <c r="E22" s="136"/>
      <c r="F22" s="161">
        <f>SUM(F13:F21)</f>
        <v>0</v>
      </c>
      <c r="G22" s="131"/>
      <c r="H22" s="161">
        <f>SUM(H13:H21)</f>
        <v>688264273.16999996</v>
      </c>
      <c r="I22" s="136"/>
      <c r="J22" s="161">
        <f>SUM(J13:J21)</f>
        <v>0</v>
      </c>
      <c r="K22" s="131"/>
      <c r="L22" s="161">
        <f>SUM(L16:L18)</f>
        <v>0</v>
      </c>
      <c r="M22" s="131"/>
      <c r="N22" s="161">
        <f>SUM(N16:N18)</f>
        <v>0</v>
      </c>
      <c r="O22" s="131"/>
      <c r="P22" s="161">
        <f>SUM(P16:P18)</f>
        <v>0</v>
      </c>
      <c r="Q22" s="136"/>
      <c r="R22" s="161">
        <f>SUM(R13:R21)</f>
        <v>107803033.52</v>
      </c>
      <c r="S22" s="136"/>
      <c r="T22" s="161">
        <f>SUM(T13:T21)</f>
        <v>944772321.66999996</v>
      </c>
      <c r="U22" s="131"/>
      <c r="V22" s="161">
        <f>SUM(V13:V21)</f>
        <v>0</v>
      </c>
      <c r="W22" s="131"/>
      <c r="X22" s="161">
        <f>SUM(X13:X21)</f>
        <v>2905240698.1199999</v>
      </c>
      <c r="Y22" s="162">
        <f>X22-'BS_Q4-67'!L120</f>
        <v>0</v>
      </c>
    </row>
    <row r="23" spans="1:26" ht="21.75" thickTop="1" x14ac:dyDescent="0.45">
      <c r="B23" s="176"/>
      <c r="D23" s="162"/>
      <c r="E23" s="162"/>
      <c r="F23" s="136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36"/>
      <c r="W23" s="162"/>
      <c r="X23" s="162"/>
    </row>
    <row r="24" spans="1:26" x14ac:dyDescent="0.45">
      <c r="A24" s="80" t="s">
        <v>359</v>
      </c>
      <c r="B24" s="176"/>
      <c r="D24" s="131">
        <v>1164401069.76</v>
      </c>
      <c r="E24" s="131"/>
      <c r="F24" s="131">
        <v>0</v>
      </c>
      <c r="G24" s="131"/>
      <c r="H24" s="131">
        <v>688264273.16999996</v>
      </c>
      <c r="I24" s="131"/>
      <c r="J24" s="131">
        <v>0</v>
      </c>
      <c r="K24" s="131"/>
      <c r="L24" s="136">
        <v>0</v>
      </c>
      <c r="M24" s="131"/>
      <c r="N24" s="131">
        <v>0</v>
      </c>
      <c r="O24" s="131"/>
      <c r="P24" s="131">
        <v>0</v>
      </c>
      <c r="Q24" s="131"/>
      <c r="R24" s="131">
        <v>107803033.52</v>
      </c>
      <c r="S24" s="131"/>
      <c r="T24" s="131">
        <v>944772321.66999996</v>
      </c>
      <c r="U24" s="131"/>
      <c r="V24" s="131">
        <v>0</v>
      </c>
      <c r="W24" s="131"/>
      <c r="X24" s="131">
        <f>SUM(D24:V24)</f>
        <v>2905240698.1199999</v>
      </c>
      <c r="Z24" s="136"/>
    </row>
    <row r="25" spans="1:26" ht="9.75" customHeight="1" x14ac:dyDescent="0.45">
      <c r="B25" s="17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131"/>
      <c r="T25" s="131"/>
      <c r="U25" s="131"/>
      <c r="V25" s="21"/>
      <c r="W25" s="131"/>
      <c r="X25" s="131"/>
    </row>
    <row r="26" spans="1:26" x14ac:dyDescent="0.45">
      <c r="A26" s="84" t="s">
        <v>285</v>
      </c>
      <c r="B26" s="176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131"/>
      <c r="T26" s="131"/>
      <c r="U26" s="131"/>
      <c r="V26" s="21"/>
      <c r="W26" s="131"/>
      <c r="X26" s="131"/>
    </row>
    <row r="27" spans="1:26" x14ac:dyDescent="0.45">
      <c r="A27" s="84" t="s">
        <v>317</v>
      </c>
      <c r="B27" s="175">
        <v>25</v>
      </c>
      <c r="D27" s="136">
        <v>185701489.12</v>
      </c>
      <c r="E27" s="136"/>
      <c r="F27" s="136">
        <v>0</v>
      </c>
      <c r="G27" s="136"/>
      <c r="H27" s="136">
        <v>656640465.54999995</v>
      </c>
      <c r="I27" s="136"/>
      <c r="J27" s="136">
        <v>0</v>
      </c>
      <c r="K27" s="136"/>
      <c r="L27" s="136">
        <v>0</v>
      </c>
      <c r="M27" s="136"/>
      <c r="N27" s="131">
        <v>0</v>
      </c>
      <c r="O27" s="136"/>
      <c r="P27" s="136">
        <v>0</v>
      </c>
      <c r="Q27" s="136"/>
      <c r="R27" s="136">
        <v>0</v>
      </c>
      <c r="S27" s="136"/>
      <c r="T27" s="136">
        <v>0</v>
      </c>
      <c r="U27" s="136"/>
      <c r="V27" s="136">
        <v>0</v>
      </c>
      <c r="W27" s="136"/>
      <c r="X27" s="131">
        <f t="shared" ref="X27" si="0">SUM(D27:V27)</f>
        <v>842341954.66999996</v>
      </c>
    </row>
    <row r="28" spans="1:26" s="136" customFormat="1" x14ac:dyDescent="0.45">
      <c r="A28" s="150" t="s">
        <v>313</v>
      </c>
      <c r="B28" s="175">
        <v>24</v>
      </c>
      <c r="D28" s="136">
        <v>0</v>
      </c>
      <c r="F28" s="136">
        <v>0</v>
      </c>
      <c r="H28" s="136">
        <v>0</v>
      </c>
      <c r="J28" s="136">
        <v>0</v>
      </c>
      <c r="L28" s="136">
        <v>0</v>
      </c>
      <c r="N28" s="131">
        <v>0</v>
      </c>
      <c r="P28" s="136">
        <v>0</v>
      </c>
      <c r="R28" s="136">
        <v>0</v>
      </c>
      <c r="T28" s="136">
        <v>-247731674.69</v>
      </c>
      <c r="V28" s="136">
        <v>0</v>
      </c>
      <c r="X28" s="131">
        <f>SUM(D28:V28)</f>
        <v>-247731674.69</v>
      </c>
      <c r="Z28" s="131"/>
    </row>
    <row r="29" spans="1:26" s="136" customFormat="1" x14ac:dyDescent="0.45">
      <c r="A29" s="84" t="s">
        <v>270</v>
      </c>
      <c r="B29" s="175">
        <v>27</v>
      </c>
      <c r="D29" s="136">
        <v>0</v>
      </c>
      <c r="F29" s="136">
        <v>0</v>
      </c>
      <c r="H29" s="136">
        <v>0</v>
      </c>
      <c r="J29" s="136">
        <v>0</v>
      </c>
      <c r="L29" s="136">
        <v>0</v>
      </c>
      <c r="N29" s="131">
        <v>0</v>
      </c>
      <c r="P29" s="136">
        <v>0</v>
      </c>
      <c r="R29" s="136">
        <v>4149128.17</v>
      </c>
      <c r="T29" s="136">
        <f>-R29</f>
        <v>-4149128.17</v>
      </c>
      <c r="V29" s="136">
        <v>0</v>
      </c>
      <c r="X29" s="131">
        <f>SUM(D29:V29)</f>
        <v>0</v>
      </c>
      <c r="Z29" s="131"/>
    </row>
    <row r="30" spans="1:26" s="136" customFormat="1" x14ac:dyDescent="0.45">
      <c r="A30" s="151" t="s">
        <v>273</v>
      </c>
      <c r="D30" s="131">
        <v>0</v>
      </c>
      <c r="E30" s="131"/>
      <c r="F30" s="131">
        <v>0</v>
      </c>
      <c r="G30" s="131"/>
      <c r="H30" s="131">
        <v>0</v>
      </c>
      <c r="I30" s="131"/>
      <c r="J30" s="131">
        <v>0</v>
      </c>
      <c r="K30" s="131"/>
      <c r="L30" s="131">
        <v>0</v>
      </c>
      <c r="M30" s="131"/>
      <c r="N30" s="131">
        <v>0</v>
      </c>
      <c r="O30" s="131"/>
      <c r="P30" s="131">
        <v>0</v>
      </c>
      <c r="Q30" s="131"/>
      <c r="R30" s="131">
        <v>0</v>
      </c>
      <c r="S30" s="131"/>
      <c r="T30" s="131">
        <f>+'PL_Q4-67'!J42</f>
        <v>-108170015.29999995</v>
      </c>
      <c r="U30" s="131"/>
      <c r="V30" s="131">
        <f>-V32</f>
        <v>0</v>
      </c>
      <c r="W30" s="131"/>
      <c r="X30" s="131">
        <f>SUM(D30:V30)</f>
        <v>-108170015.29999995</v>
      </c>
      <c r="Y30" s="136">
        <f>T30-'PL_Q4-67'!J42</f>
        <v>0</v>
      </c>
    </row>
    <row r="31" spans="1:26" s="136" customFormat="1" hidden="1" x14ac:dyDescent="0.45">
      <c r="A31" s="84" t="s">
        <v>307</v>
      </c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</row>
    <row r="32" spans="1:26" s="136" customFormat="1" hidden="1" x14ac:dyDescent="0.45">
      <c r="A32" s="84" t="s">
        <v>308</v>
      </c>
      <c r="D32" s="131">
        <v>0</v>
      </c>
      <c r="E32" s="131"/>
      <c r="F32" s="131">
        <v>0</v>
      </c>
      <c r="G32" s="131"/>
      <c r="H32" s="131">
        <v>0</v>
      </c>
      <c r="I32" s="131"/>
      <c r="J32" s="131">
        <v>0</v>
      </c>
      <c r="K32" s="131"/>
      <c r="L32" s="131">
        <v>0</v>
      </c>
      <c r="M32" s="131"/>
      <c r="N32" s="131">
        <v>0</v>
      </c>
      <c r="O32" s="131"/>
      <c r="P32" s="131">
        <v>0</v>
      </c>
      <c r="Q32" s="131"/>
      <c r="R32" s="131">
        <v>0</v>
      </c>
      <c r="S32" s="131"/>
      <c r="T32" s="131">
        <v>0</v>
      </c>
      <c r="U32" s="131"/>
      <c r="V32" s="131">
        <f>-T32</f>
        <v>0</v>
      </c>
      <c r="W32" s="131"/>
      <c r="X32" s="131">
        <f>SUM(D32:V32)</f>
        <v>0</v>
      </c>
    </row>
    <row r="33" spans="1:28" ht="7.5" customHeight="1" x14ac:dyDescent="0.45">
      <c r="D33" s="160"/>
      <c r="E33" s="136"/>
      <c r="F33" s="160"/>
      <c r="G33" s="131"/>
      <c r="H33" s="160"/>
      <c r="I33" s="136"/>
      <c r="J33" s="160"/>
      <c r="K33" s="131"/>
      <c r="L33" s="160"/>
      <c r="M33" s="131"/>
      <c r="N33" s="160"/>
      <c r="O33" s="131"/>
      <c r="P33" s="160"/>
      <c r="Q33" s="136"/>
      <c r="R33" s="160"/>
      <c r="S33" s="136"/>
      <c r="T33" s="160"/>
      <c r="U33" s="131"/>
      <c r="V33" s="160"/>
      <c r="W33" s="131"/>
      <c r="X33" s="160"/>
    </row>
    <row r="34" spans="1:28" ht="21.75" thickBot="1" x14ac:dyDescent="0.5">
      <c r="A34" s="80" t="s">
        <v>361</v>
      </c>
      <c r="D34" s="161">
        <f>SUM(D24:D33)</f>
        <v>1350102558.8800001</v>
      </c>
      <c r="E34" s="136"/>
      <c r="F34" s="161">
        <f>SUM(F24:F33)</f>
        <v>0</v>
      </c>
      <c r="G34" s="131"/>
      <c r="H34" s="161">
        <f>SUM(H24:H33)</f>
        <v>1344904738.7199998</v>
      </c>
      <c r="I34" s="136"/>
      <c r="J34" s="161">
        <f>SUM(J24:J33)</f>
        <v>0</v>
      </c>
      <c r="K34" s="131"/>
      <c r="L34" s="161">
        <f>SUM(L28:L30)</f>
        <v>0</v>
      </c>
      <c r="M34" s="131"/>
      <c r="N34" s="161">
        <f>SUM(N28:N30)</f>
        <v>0</v>
      </c>
      <c r="O34" s="131"/>
      <c r="P34" s="161">
        <f>SUM(P28:P30)</f>
        <v>0</v>
      </c>
      <c r="Q34" s="136"/>
      <c r="R34" s="161">
        <f>SUM(R24:R33)</f>
        <v>111952161.69</v>
      </c>
      <c r="S34" s="136"/>
      <c r="T34" s="161">
        <f>SUM(T24:T33)</f>
        <v>584721503.51000011</v>
      </c>
      <c r="U34" s="131"/>
      <c r="V34" s="161">
        <f>SUM(V24:V33)</f>
        <v>0</v>
      </c>
      <c r="W34" s="131"/>
      <c r="X34" s="161">
        <f>SUM(X24:X33)</f>
        <v>3391680962.8000002</v>
      </c>
      <c r="Y34" s="80">
        <f>X34-'BS_Q4-67'!J120</f>
        <v>0</v>
      </c>
    </row>
    <row r="35" spans="1:28" ht="9.75" customHeight="1" thickTop="1" x14ac:dyDescent="0.45"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</row>
    <row r="36" spans="1:28" x14ac:dyDescent="0.45"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</row>
    <row r="37" spans="1:28" x14ac:dyDescent="0.45">
      <c r="A37" s="83" t="s">
        <v>271</v>
      </c>
    </row>
    <row r="38" spans="1:28" x14ac:dyDescent="0.45">
      <c r="A38" s="132"/>
    </row>
    <row r="39" spans="1:28" s="130" customFormat="1" x14ac:dyDescent="0.45">
      <c r="A39" s="96"/>
      <c r="C39" s="93"/>
      <c r="D39" s="96"/>
      <c r="E39" s="93"/>
      <c r="F39" s="93"/>
      <c r="G39" s="93"/>
      <c r="H39" s="93"/>
      <c r="I39" s="93"/>
      <c r="J39" s="96"/>
      <c r="K39" s="96"/>
      <c r="L39" s="96"/>
      <c r="M39" s="96"/>
      <c r="N39" s="96"/>
      <c r="O39" s="96"/>
      <c r="P39" s="96"/>
      <c r="Q39" s="93"/>
      <c r="R39" s="93"/>
      <c r="S39" s="93"/>
      <c r="T39" s="93"/>
      <c r="U39" s="93"/>
      <c r="V39" s="93"/>
      <c r="W39" s="93"/>
      <c r="X39" s="93"/>
      <c r="Y39" s="93"/>
      <c r="AB39" s="142"/>
    </row>
    <row r="40" spans="1:28" s="130" customFormat="1" x14ac:dyDescent="0.45">
      <c r="A40" s="96" t="s">
        <v>145</v>
      </c>
      <c r="C40" s="93"/>
      <c r="D40" s="96"/>
      <c r="E40" s="93"/>
      <c r="F40" s="93"/>
      <c r="G40" s="93"/>
      <c r="H40" s="93"/>
      <c r="I40" s="93"/>
      <c r="K40" s="96"/>
      <c r="L40" s="96"/>
      <c r="M40" s="96"/>
      <c r="N40" s="96"/>
      <c r="O40" s="96"/>
      <c r="P40" s="96"/>
      <c r="Q40" s="93"/>
      <c r="R40" s="96" t="s">
        <v>145</v>
      </c>
      <c r="S40" s="93"/>
      <c r="U40" s="93"/>
      <c r="V40" s="93"/>
      <c r="W40" s="93"/>
      <c r="X40" s="93"/>
      <c r="Y40" s="93"/>
      <c r="AB40" s="142"/>
    </row>
    <row r="41" spans="1:28" x14ac:dyDescent="0.45">
      <c r="A41" s="133"/>
    </row>
  </sheetData>
  <mergeCells count="7">
    <mergeCell ref="R8:T8"/>
    <mergeCell ref="V1:X1"/>
    <mergeCell ref="D7:X7"/>
    <mergeCell ref="A3:X3"/>
    <mergeCell ref="A4:X4"/>
    <mergeCell ref="A5:X5"/>
    <mergeCell ref="A6:X6"/>
  </mergeCells>
  <phoneticPr fontId="0" type="noConversion"/>
  <printOptions horizontalCentered="1"/>
  <pageMargins left="0.6" right="0.5" top="0.35" bottom="0.4" header="0.30496063000000001" footer="0.16"/>
  <pageSetup paperSize="9" scale="82" orientation="landscape" r:id="rId1"/>
  <headerFooter alignWithMargins="0">
    <oddFooter>&amp;C5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2"/>
  <sheetViews>
    <sheetView tabSelected="1" view="pageBreakPreview" topLeftCell="A9" zoomScaleNormal="100" zoomScaleSheetLayoutView="100" workbookViewId="0">
      <selection activeCell="C25" sqref="C25"/>
    </sheetView>
  </sheetViews>
  <sheetFormatPr defaultColWidth="9.140625" defaultRowHeight="18" x14ac:dyDescent="0.4"/>
  <cols>
    <col min="1" max="2" width="2.85546875" style="3" customWidth="1"/>
    <col min="3" max="3" width="39.140625" style="3" bestFit="1" customWidth="1"/>
    <col min="4" max="4" width="5.42578125" style="6" customWidth="1"/>
    <col min="5" max="5" width="0.85546875" style="6" customWidth="1"/>
    <col min="6" max="6" width="12.85546875" style="6" customWidth="1"/>
    <col min="7" max="7" width="0.85546875" style="6" customWidth="1"/>
    <col min="8" max="8" width="13.42578125" style="6" customWidth="1"/>
    <col min="9" max="9" width="0.85546875" style="3" customWidth="1"/>
    <col min="10" max="10" width="12.85546875" style="5" customWidth="1"/>
    <col min="11" max="11" width="0.85546875" style="3" customWidth="1"/>
    <col min="12" max="12" width="13.140625" style="5" customWidth="1"/>
    <col min="13" max="13" width="2.85546875" style="3" customWidth="1"/>
    <col min="14" max="14" width="15.85546875" style="3" customWidth="1"/>
    <col min="15" max="15" width="2.85546875" style="3" customWidth="1"/>
    <col min="16" max="16" width="13.85546875" style="3" customWidth="1"/>
    <col min="17" max="17" width="2.85546875" style="3" customWidth="1"/>
    <col min="18" max="18" width="14.5703125" style="3" customWidth="1"/>
    <col min="19" max="19" width="5" style="3" customWidth="1"/>
    <col min="20" max="16384" width="9.140625" style="3"/>
  </cols>
  <sheetData>
    <row r="1" spans="1:14" ht="12.75" customHeight="1" x14ac:dyDescent="0.4">
      <c r="B1" s="9"/>
      <c r="C1" s="9"/>
      <c r="D1" s="30"/>
      <c r="E1" s="30"/>
      <c r="F1" s="17"/>
      <c r="G1" s="30"/>
      <c r="H1" s="17"/>
      <c r="I1" s="9"/>
      <c r="J1" s="17"/>
      <c r="K1" s="17"/>
      <c r="L1" s="183"/>
    </row>
    <row r="2" spans="1:14" x14ac:dyDescent="0.4">
      <c r="A2" s="225" t="s">
        <v>131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14" ht="18" customHeight="1" x14ac:dyDescent="0.4">
      <c r="A3" s="222" t="s">
        <v>157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</row>
    <row r="4" spans="1:14" ht="18" customHeight="1" x14ac:dyDescent="0.4">
      <c r="A4" s="222" t="s">
        <v>358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</row>
    <row r="5" spans="1:14" ht="16.5" customHeight="1" x14ac:dyDescent="0.4">
      <c r="A5" s="9"/>
      <c r="B5" s="9"/>
      <c r="C5" s="26"/>
      <c r="F5" s="223" t="s">
        <v>132</v>
      </c>
      <c r="G5" s="223"/>
      <c r="H5" s="223"/>
      <c r="I5" s="223"/>
      <c r="J5" s="223"/>
      <c r="K5" s="223"/>
      <c r="L5" s="223"/>
    </row>
    <row r="6" spans="1:14" ht="18.75" x14ac:dyDescent="0.4">
      <c r="A6" s="9"/>
      <c r="B6" s="9"/>
      <c r="C6" s="9" t="s">
        <v>4</v>
      </c>
      <c r="F6" s="220" t="s">
        <v>204</v>
      </c>
      <c r="G6" s="220"/>
      <c r="H6" s="220"/>
      <c r="I6" s="184"/>
      <c r="J6" s="220" t="s">
        <v>205</v>
      </c>
      <c r="K6" s="220"/>
      <c r="L6" s="220"/>
    </row>
    <row r="7" spans="1:14" ht="18.75" x14ac:dyDescent="0.4">
      <c r="A7" s="9"/>
      <c r="B7" s="9"/>
      <c r="C7" s="9"/>
      <c r="F7" s="220" t="s">
        <v>275</v>
      </c>
      <c r="G7" s="220"/>
      <c r="H7" s="220"/>
      <c r="I7" s="184"/>
      <c r="J7" s="220" t="str">
        <f>+F7</f>
        <v>For the years ended December 31</v>
      </c>
      <c r="K7" s="220"/>
      <c r="L7" s="220"/>
    </row>
    <row r="8" spans="1:14" x14ac:dyDescent="0.4">
      <c r="A8" s="9"/>
      <c r="B8" s="9"/>
      <c r="C8" s="9"/>
      <c r="D8" s="185" t="s">
        <v>133</v>
      </c>
      <c r="F8" s="185">
        <v>2024</v>
      </c>
      <c r="H8" s="185">
        <v>2023</v>
      </c>
      <c r="J8" s="185">
        <f>+F8</f>
        <v>2024</v>
      </c>
      <c r="K8" s="6"/>
      <c r="L8" s="185">
        <f>+H8</f>
        <v>2023</v>
      </c>
    </row>
    <row r="9" spans="1:14" x14ac:dyDescent="0.4">
      <c r="A9" s="190" t="s">
        <v>158</v>
      </c>
      <c r="B9" s="9"/>
      <c r="C9" s="9"/>
      <c r="D9" s="13"/>
      <c r="E9" s="13"/>
      <c r="F9" s="10"/>
      <c r="G9" s="10"/>
      <c r="H9" s="10"/>
      <c r="I9" s="9"/>
      <c r="J9" s="11"/>
      <c r="K9" s="9"/>
      <c r="L9" s="11"/>
    </row>
    <row r="10" spans="1:14" x14ac:dyDescent="0.4">
      <c r="A10" s="9"/>
      <c r="B10" s="9" t="s">
        <v>375</v>
      </c>
      <c r="C10" s="9"/>
      <c r="D10" s="13"/>
      <c r="E10" s="13"/>
      <c r="F10" s="158">
        <v>67082149.600000001</v>
      </c>
      <c r="G10" s="189"/>
      <c r="H10" s="158">
        <v>303320117.00999999</v>
      </c>
      <c r="I10" s="154"/>
      <c r="J10" s="21">
        <v>71113051.280000001</v>
      </c>
      <c r="K10" s="154"/>
      <c r="L10" s="21">
        <v>302767635.75</v>
      </c>
      <c r="M10" s="7"/>
      <c r="N10" s="7"/>
    </row>
    <row r="11" spans="1:14" x14ac:dyDescent="0.4">
      <c r="A11" s="9"/>
      <c r="B11" s="9" t="s">
        <v>376</v>
      </c>
      <c r="C11" s="9"/>
      <c r="D11" s="13"/>
      <c r="E11" s="13"/>
      <c r="F11" s="158">
        <v>116611152.92</v>
      </c>
      <c r="G11" s="189"/>
      <c r="H11" s="158">
        <v>13542261.85</v>
      </c>
      <c r="I11" s="154"/>
      <c r="J11" s="21">
        <v>14016.98</v>
      </c>
      <c r="K11" s="154"/>
      <c r="L11" s="21">
        <v>3307.9</v>
      </c>
      <c r="M11" s="7"/>
      <c r="N11" s="7"/>
    </row>
    <row r="12" spans="1:14" x14ac:dyDescent="0.4">
      <c r="A12" s="9"/>
      <c r="B12" s="9" t="s">
        <v>325</v>
      </c>
      <c r="C12" s="9"/>
      <c r="D12" s="13">
        <v>8.4</v>
      </c>
      <c r="E12" s="13"/>
      <c r="F12" s="158">
        <v>0</v>
      </c>
      <c r="G12" s="189"/>
      <c r="H12" s="158">
        <v>15624673.189999999</v>
      </c>
      <c r="I12" s="154"/>
      <c r="J12" s="21">
        <v>0</v>
      </c>
      <c r="K12" s="154"/>
      <c r="L12" s="21">
        <v>0</v>
      </c>
      <c r="M12" s="7"/>
      <c r="N12" s="7"/>
    </row>
    <row r="13" spans="1:14" x14ac:dyDescent="0.4">
      <c r="A13" s="9"/>
      <c r="B13" s="9" t="s">
        <v>324</v>
      </c>
      <c r="C13" s="9"/>
      <c r="D13" s="13"/>
      <c r="E13" s="13"/>
      <c r="F13" s="158">
        <v>0</v>
      </c>
      <c r="G13" s="189"/>
      <c r="H13" s="158">
        <v>3218558.67</v>
      </c>
      <c r="I13" s="154"/>
      <c r="J13" s="14">
        <v>0</v>
      </c>
      <c r="K13" s="154"/>
      <c r="L13" s="14">
        <v>3218558.67</v>
      </c>
      <c r="M13" s="7"/>
      <c r="N13" s="7"/>
    </row>
    <row r="14" spans="1:14" x14ac:dyDescent="0.4">
      <c r="A14" s="9"/>
      <c r="B14" s="9" t="s">
        <v>364</v>
      </c>
      <c r="C14" s="9"/>
      <c r="D14" s="13"/>
      <c r="E14" s="13"/>
      <c r="F14" s="158">
        <v>114898653.03</v>
      </c>
      <c r="G14" s="189"/>
      <c r="H14" s="158">
        <v>34472498.960000001</v>
      </c>
      <c r="I14" s="154"/>
      <c r="J14" s="14">
        <v>53909.74</v>
      </c>
      <c r="K14" s="154"/>
      <c r="L14" s="14">
        <v>9440.5</v>
      </c>
      <c r="M14" s="7"/>
      <c r="N14" s="7"/>
    </row>
    <row r="15" spans="1:14" x14ac:dyDescent="0.4">
      <c r="A15" s="9"/>
      <c r="B15" s="9" t="s">
        <v>215</v>
      </c>
      <c r="C15" s="9"/>
      <c r="D15" s="13"/>
      <c r="E15" s="13"/>
      <c r="F15" s="158">
        <v>4000000</v>
      </c>
      <c r="G15" s="189"/>
      <c r="H15" s="158">
        <v>5000000</v>
      </c>
      <c r="I15" s="154"/>
      <c r="J15" s="14">
        <v>4000000</v>
      </c>
      <c r="K15" s="154"/>
      <c r="L15" s="14">
        <v>5000000</v>
      </c>
      <c r="M15" s="7"/>
      <c r="N15" s="7"/>
    </row>
    <row r="16" spans="1:14" x14ac:dyDescent="0.4">
      <c r="A16" s="9"/>
      <c r="B16" s="9" t="s">
        <v>160</v>
      </c>
      <c r="C16" s="9"/>
      <c r="D16" s="13"/>
      <c r="E16" s="13"/>
      <c r="F16" s="158">
        <v>57384645.990000002</v>
      </c>
      <c r="G16" s="189"/>
      <c r="H16" s="158">
        <v>40530649.119999997</v>
      </c>
      <c r="I16" s="154"/>
      <c r="J16" s="21">
        <v>117774340.8</v>
      </c>
      <c r="K16" s="154"/>
      <c r="L16" s="21">
        <v>99110131.549999997</v>
      </c>
      <c r="M16" s="7"/>
      <c r="N16" s="7"/>
    </row>
    <row r="17" spans="1:14" x14ac:dyDescent="0.4">
      <c r="A17" s="9"/>
      <c r="B17" s="9" t="s">
        <v>159</v>
      </c>
      <c r="C17" s="9"/>
      <c r="D17" s="13"/>
      <c r="E17" s="13"/>
      <c r="F17" s="164"/>
      <c r="G17" s="164"/>
      <c r="H17" s="164"/>
      <c r="I17" s="154"/>
      <c r="J17" s="14"/>
      <c r="K17" s="154"/>
      <c r="L17" s="14"/>
      <c r="M17" s="7"/>
      <c r="N17" s="7"/>
    </row>
    <row r="18" spans="1:14" x14ac:dyDescent="0.4">
      <c r="A18" s="9"/>
      <c r="B18" s="9"/>
      <c r="C18" s="9" t="s">
        <v>343</v>
      </c>
      <c r="D18" s="13">
        <v>11</v>
      </c>
      <c r="E18" s="13"/>
      <c r="F18" s="14">
        <v>0</v>
      </c>
      <c r="G18" s="189"/>
      <c r="H18" s="14">
        <v>3000100</v>
      </c>
      <c r="I18" s="154"/>
      <c r="J18" s="14">
        <v>0</v>
      </c>
      <c r="K18" s="154"/>
      <c r="L18" s="14">
        <v>3000100</v>
      </c>
      <c r="M18" s="7"/>
      <c r="N18" s="7"/>
    </row>
    <row r="19" spans="1:14" x14ac:dyDescent="0.4">
      <c r="A19" s="9"/>
      <c r="B19" s="9"/>
      <c r="C19" s="9" t="s">
        <v>371</v>
      </c>
      <c r="D19" s="13">
        <v>14</v>
      </c>
      <c r="E19" s="13"/>
      <c r="F19" s="14">
        <v>16089232.99</v>
      </c>
      <c r="G19" s="189"/>
      <c r="H19" s="14">
        <v>0</v>
      </c>
      <c r="I19" s="154"/>
      <c r="J19" s="14">
        <v>0</v>
      </c>
      <c r="K19" s="154"/>
      <c r="L19" s="14">
        <v>0</v>
      </c>
      <c r="M19" s="7"/>
      <c r="N19" s="7"/>
    </row>
    <row r="20" spans="1:14" x14ac:dyDescent="0.4">
      <c r="A20" s="9"/>
      <c r="B20" s="9"/>
      <c r="C20" s="9" t="s">
        <v>138</v>
      </c>
      <c r="D20" s="15"/>
      <c r="E20" s="15"/>
      <c r="F20" s="158">
        <v>916868.21</v>
      </c>
      <c r="G20" s="189"/>
      <c r="H20" s="158">
        <v>399751.99</v>
      </c>
      <c r="I20" s="154"/>
      <c r="J20" s="14">
        <v>831268.21</v>
      </c>
      <c r="K20" s="154"/>
      <c r="L20" s="14">
        <v>319848.31</v>
      </c>
      <c r="M20" s="7"/>
      <c r="N20" s="7"/>
    </row>
    <row r="21" spans="1:14" x14ac:dyDescent="0.4">
      <c r="A21" s="9"/>
      <c r="B21" s="9"/>
      <c r="C21" s="9" t="s">
        <v>161</v>
      </c>
      <c r="D21" s="13"/>
      <c r="E21" s="13"/>
      <c r="F21" s="157">
        <f>SUM(F10:F20)</f>
        <v>376982702.74000001</v>
      </c>
      <c r="G21" s="189"/>
      <c r="H21" s="157">
        <f>SUM(H10:H20)</f>
        <v>419108610.79000002</v>
      </c>
      <c r="I21" s="154"/>
      <c r="J21" s="157">
        <f>SUM(J10:J20)</f>
        <v>193786587.01000002</v>
      </c>
      <c r="K21" s="154"/>
      <c r="L21" s="157">
        <f>SUM(L10:L20)</f>
        <v>413429022.68000001</v>
      </c>
      <c r="M21" s="7"/>
      <c r="N21" s="7"/>
    </row>
    <row r="22" spans="1:14" ht="8.25" customHeight="1" x14ac:dyDescent="0.4">
      <c r="A22" s="9"/>
      <c r="B22" s="9"/>
      <c r="C22" s="9"/>
      <c r="D22" s="13"/>
      <c r="E22" s="13"/>
      <c r="F22" s="189"/>
      <c r="G22" s="189"/>
      <c r="H22" s="189"/>
      <c r="I22" s="154"/>
      <c r="J22" s="189"/>
      <c r="K22" s="154"/>
      <c r="L22" s="189"/>
      <c r="M22" s="7"/>
      <c r="N22" s="7"/>
    </row>
    <row r="23" spans="1:14" x14ac:dyDescent="0.4">
      <c r="A23" s="9" t="s">
        <v>162</v>
      </c>
      <c r="B23" s="9"/>
      <c r="C23" s="9"/>
      <c r="D23" s="13"/>
      <c r="E23" s="13"/>
      <c r="F23" s="189"/>
      <c r="G23" s="189"/>
      <c r="H23" s="189"/>
      <c r="I23" s="154"/>
      <c r="J23" s="14"/>
      <c r="K23" s="154"/>
      <c r="L23" s="14"/>
      <c r="M23" s="7"/>
      <c r="N23" s="7"/>
    </row>
    <row r="24" spans="1:14" x14ac:dyDescent="0.4">
      <c r="A24" s="9"/>
      <c r="B24" s="9" t="s">
        <v>253</v>
      </c>
      <c r="C24" s="9"/>
      <c r="D24" s="13"/>
      <c r="E24" s="13"/>
      <c r="F24" s="189">
        <v>121203546.55</v>
      </c>
      <c r="G24" s="189"/>
      <c r="H24" s="189">
        <v>63807112.630000003</v>
      </c>
      <c r="I24" s="154"/>
      <c r="J24" s="14">
        <v>118390123.11</v>
      </c>
      <c r="K24" s="154"/>
      <c r="L24" s="14">
        <v>141381223.08000001</v>
      </c>
      <c r="M24" s="7"/>
      <c r="N24" s="7"/>
    </row>
    <row r="25" spans="1:14" x14ac:dyDescent="0.4">
      <c r="A25" s="9"/>
      <c r="B25" s="9" t="s">
        <v>388</v>
      </c>
      <c r="C25" s="9"/>
      <c r="D25" s="13"/>
      <c r="E25" s="13"/>
      <c r="F25" s="189"/>
      <c r="G25" s="189"/>
      <c r="H25" s="189"/>
      <c r="I25" s="154"/>
      <c r="J25" s="14"/>
      <c r="K25" s="154"/>
      <c r="L25" s="14"/>
      <c r="M25" s="7"/>
      <c r="N25" s="7"/>
    </row>
    <row r="26" spans="1:14" x14ac:dyDescent="0.4">
      <c r="A26" s="9"/>
      <c r="B26" s="9" t="s">
        <v>389</v>
      </c>
      <c r="C26" s="9"/>
      <c r="D26" s="13"/>
      <c r="E26" s="13"/>
      <c r="F26" s="189">
        <v>8043249.9400000004</v>
      </c>
      <c r="G26" s="189"/>
      <c r="H26" s="189">
        <v>79830077.879999995</v>
      </c>
      <c r="I26" s="154"/>
      <c r="J26" s="14">
        <v>14004.76</v>
      </c>
      <c r="K26" s="154"/>
      <c r="L26" s="14">
        <v>4691.1000000000004</v>
      </c>
      <c r="M26" s="7"/>
      <c r="N26" s="7"/>
    </row>
    <row r="27" spans="1:14" s="181" customFormat="1" x14ac:dyDescent="0.4">
      <c r="A27" s="9"/>
      <c r="B27" s="9" t="s">
        <v>390</v>
      </c>
      <c r="C27" s="3"/>
      <c r="D27" s="13"/>
      <c r="E27" s="13"/>
      <c r="F27" s="14">
        <v>-70267206.829999998</v>
      </c>
      <c r="G27" s="189"/>
      <c r="H27" s="14">
        <v>-289297561.65999997</v>
      </c>
      <c r="I27" s="154"/>
      <c r="J27" s="14">
        <v>-88789.87000000001</v>
      </c>
      <c r="K27" s="154"/>
      <c r="L27" s="14">
        <v>-21891.729999999996</v>
      </c>
      <c r="M27" s="182"/>
      <c r="N27" s="182"/>
    </row>
    <row r="28" spans="1:14" x14ac:dyDescent="0.4">
      <c r="A28" s="9"/>
      <c r="B28" s="9" t="s">
        <v>211</v>
      </c>
      <c r="C28" s="9"/>
      <c r="D28" s="8"/>
      <c r="E28" s="8"/>
      <c r="F28" s="189">
        <v>126317705.38</v>
      </c>
      <c r="G28" s="189"/>
      <c r="H28" s="189">
        <v>137349838.75</v>
      </c>
      <c r="I28" s="154"/>
      <c r="J28" s="14">
        <v>89482818.849999994</v>
      </c>
      <c r="K28" s="154"/>
      <c r="L28" s="14">
        <v>90260030.439999998</v>
      </c>
      <c r="M28" s="7"/>
      <c r="N28" s="7"/>
    </row>
    <row r="29" spans="1:14" x14ac:dyDescent="0.4">
      <c r="A29" s="9"/>
      <c r="B29" s="9" t="s">
        <v>326</v>
      </c>
      <c r="C29" s="9"/>
      <c r="D29" s="13">
        <v>8.4</v>
      </c>
      <c r="E29" s="8"/>
      <c r="F29" s="189">
        <v>9562347.1300000008</v>
      </c>
      <c r="G29" s="189"/>
      <c r="H29" s="189">
        <v>0</v>
      </c>
      <c r="I29" s="154"/>
      <c r="J29" s="14">
        <v>79139805.439999998</v>
      </c>
      <c r="K29" s="154"/>
      <c r="L29" s="14">
        <v>40033043.039999999</v>
      </c>
      <c r="M29" s="7"/>
      <c r="N29" s="7"/>
    </row>
    <row r="30" spans="1:14" x14ac:dyDescent="0.4">
      <c r="A30" s="9"/>
      <c r="B30" s="9" t="s">
        <v>370</v>
      </c>
      <c r="C30" s="9"/>
      <c r="D30" s="13"/>
      <c r="E30" s="13"/>
      <c r="F30" s="158">
        <v>816512.6</v>
      </c>
      <c r="G30" s="189"/>
      <c r="H30" s="158">
        <v>0</v>
      </c>
      <c r="I30" s="154"/>
      <c r="J30" s="14">
        <v>0</v>
      </c>
      <c r="K30" s="154"/>
      <c r="L30" s="14">
        <v>0</v>
      </c>
      <c r="M30" s="7"/>
      <c r="N30" s="7"/>
    </row>
    <row r="31" spans="1:14" x14ac:dyDescent="0.4">
      <c r="A31" s="9"/>
      <c r="B31" s="9"/>
      <c r="C31" s="9" t="s">
        <v>163</v>
      </c>
      <c r="D31" s="13"/>
      <c r="E31" s="13"/>
      <c r="F31" s="157">
        <f>SUM(F24:F30)</f>
        <v>195676154.76999998</v>
      </c>
      <c r="G31" s="158"/>
      <c r="H31" s="157">
        <f>SUM(H24:H30)</f>
        <v>-8310532.3999999762</v>
      </c>
      <c r="I31" s="14"/>
      <c r="J31" s="157">
        <f>SUM(J24:J30)</f>
        <v>286937962.28999996</v>
      </c>
      <c r="K31" s="14"/>
      <c r="L31" s="157">
        <f>SUM(L24:L30)</f>
        <v>271657095.93000001</v>
      </c>
      <c r="M31" s="7"/>
      <c r="N31" s="7"/>
    </row>
    <row r="32" spans="1:14" ht="7.5" customHeight="1" x14ac:dyDescent="0.4">
      <c r="A32" s="9"/>
      <c r="B32" s="9"/>
      <c r="C32" s="9"/>
      <c r="D32" s="13"/>
      <c r="E32" s="13"/>
      <c r="F32" s="189"/>
      <c r="G32" s="189"/>
      <c r="H32" s="189"/>
      <c r="I32" s="154"/>
      <c r="J32" s="14"/>
      <c r="K32" s="154"/>
      <c r="L32" s="14"/>
      <c r="M32" s="7"/>
      <c r="N32" s="7"/>
    </row>
    <row r="33" spans="1:14" x14ac:dyDescent="0.4">
      <c r="A33" s="9" t="s">
        <v>387</v>
      </c>
      <c r="B33" s="9"/>
      <c r="C33" s="9"/>
      <c r="D33" s="13"/>
      <c r="E33" s="13"/>
      <c r="F33" s="189">
        <f>+F21-F31</f>
        <v>181306547.97000003</v>
      </c>
      <c r="G33" s="189"/>
      <c r="H33" s="189">
        <f>+H21-H31</f>
        <v>427419143.19</v>
      </c>
      <c r="I33" s="154"/>
      <c r="J33" s="189">
        <f>+J21-J31</f>
        <v>-93151375.279999942</v>
      </c>
      <c r="K33" s="154"/>
      <c r="L33" s="189">
        <f>+L21-L31</f>
        <v>141771926.75</v>
      </c>
      <c r="M33" s="7"/>
      <c r="N33" s="7"/>
    </row>
    <row r="34" spans="1:14" x14ac:dyDescent="0.4">
      <c r="A34" s="9"/>
      <c r="B34" s="9" t="s">
        <v>212</v>
      </c>
      <c r="C34" s="9"/>
      <c r="D34" s="192"/>
      <c r="E34" s="8"/>
      <c r="F34" s="189">
        <v>7885807.5099999998</v>
      </c>
      <c r="G34" s="189"/>
      <c r="H34" s="189">
        <v>11495829.51</v>
      </c>
      <c r="I34" s="154"/>
      <c r="J34" s="21">
        <v>8152610.7999999998</v>
      </c>
      <c r="K34" s="154"/>
      <c r="L34" s="21">
        <v>12293432.27</v>
      </c>
      <c r="M34" s="7"/>
      <c r="N34" s="7"/>
    </row>
    <row r="35" spans="1:14" x14ac:dyDescent="0.4">
      <c r="A35" s="9"/>
      <c r="B35" s="9" t="s">
        <v>384</v>
      </c>
      <c r="C35" s="9"/>
      <c r="D35" s="196">
        <v>10</v>
      </c>
      <c r="E35" s="8"/>
      <c r="F35" s="193">
        <v>-30463926.289999999</v>
      </c>
      <c r="G35" s="189"/>
      <c r="H35" s="193">
        <v>-4334273</v>
      </c>
      <c r="I35" s="154"/>
      <c r="J35" s="155">
        <v>-30463926.289999999</v>
      </c>
      <c r="K35" s="154"/>
      <c r="L35" s="155">
        <v>-4334273</v>
      </c>
      <c r="M35" s="7"/>
      <c r="N35" s="7"/>
    </row>
    <row r="36" spans="1:14" ht="7.5" customHeight="1" x14ac:dyDescent="0.4">
      <c r="A36" s="9"/>
      <c r="B36" s="9"/>
      <c r="C36" s="9"/>
      <c r="D36" s="13"/>
      <c r="E36" s="13"/>
      <c r="F36" s="189"/>
      <c r="G36" s="189"/>
      <c r="H36" s="189"/>
      <c r="I36" s="154"/>
      <c r="J36" s="14"/>
      <c r="K36" s="154"/>
      <c r="L36" s="14"/>
      <c r="M36" s="7"/>
      <c r="N36" s="7"/>
    </row>
    <row r="37" spans="1:14" x14ac:dyDescent="0.4">
      <c r="A37" s="9" t="s">
        <v>258</v>
      </c>
      <c r="B37" s="9"/>
      <c r="C37" s="9"/>
      <c r="D37" s="30"/>
      <c r="E37" s="30"/>
      <c r="F37" s="14">
        <f>+F33-F34+F35</f>
        <v>142956814.17000005</v>
      </c>
      <c r="G37" s="158"/>
      <c r="H37" s="14">
        <f>+H33-H34+H35</f>
        <v>411589040.68000001</v>
      </c>
      <c r="I37" s="154"/>
      <c r="J37" s="14">
        <f>+J33-J34+J35</f>
        <v>-131767912.36999995</v>
      </c>
      <c r="K37" s="154"/>
      <c r="L37" s="14">
        <f>+L33-L34+L35</f>
        <v>125144221.48</v>
      </c>
      <c r="M37" s="7"/>
      <c r="N37" s="7"/>
    </row>
    <row r="38" spans="1:14" x14ac:dyDescent="0.4">
      <c r="A38" s="9" t="s">
        <v>276</v>
      </c>
      <c r="B38" s="9"/>
      <c r="C38" s="9"/>
      <c r="D38" s="6">
        <v>23.2</v>
      </c>
      <c r="F38" s="166">
        <v>25701754.359999999</v>
      </c>
      <c r="G38" s="189"/>
      <c r="H38" s="166">
        <v>-24618765.77</v>
      </c>
      <c r="I38" s="154"/>
      <c r="J38" s="155">
        <v>23597897.07</v>
      </c>
      <c r="K38" s="14"/>
      <c r="L38" s="155">
        <v>-30123817.379999999</v>
      </c>
      <c r="M38" s="7"/>
      <c r="N38" s="7"/>
    </row>
    <row r="39" spans="1:14" ht="18.75" thickBot="1" x14ac:dyDescent="0.45">
      <c r="A39" s="18" t="s">
        <v>164</v>
      </c>
      <c r="B39" s="9"/>
      <c r="C39" s="9"/>
      <c r="D39" s="13"/>
      <c r="E39" s="13"/>
      <c r="F39" s="197">
        <f>SUM(F37:F38)</f>
        <v>168658568.53000003</v>
      </c>
      <c r="G39" s="189"/>
      <c r="H39" s="197">
        <f>SUM(H37:H38)</f>
        <v>386970274.91000003</v>
      </c>
      <c r="I39" s="154"/>
      <c r="J39" s="197">
        <f>SUM(J37:J38)</f>
        <v>-108170015.29999995</v>
      </c>
      <c r="K39" s="14"/>
      <c r="L39" s="197">
        <f>SUM(L37:L38)</f>
        <v>95020404.100000009</v>
      </c>
      <c r="M39" s="7"/>
      <c r="N39" s="7"/>
    </row>
    <row r="40" spans="1:14" ht="6.75" customHeight="1" thickTop="1" x14ac:dyDescent="0.4">
      <c r="A40" s="18"/>
      <c r="B40" s="9"/>
      <c r="C40" s="9"/>
      <c r="D40" s="13"/>
      <c r="E40" s="13"/>
      <c r="F40" s="189"/>
      <c r="G40" s="189"/>
      <c r="H40" s="189"/>
      <c r="I40" s="154"/>
      <c r="J40" s="189"/>
      <c r="K40" s="14"/>
      <c r="L40" s="189"/>
      <c r="M40" s="7"/>
      <c r="N40" s="7"/>
    </row>
    <row r="41" spans="1:14" ht="18.75" x14ac:dyDescent="0.4">
      <c r="A41" s="198" t="s">
        <v>239</v>
      </c>
      <c r="B41" s="199"/>
      <c r="C41" s="198"/>
      <c r="D41" s="13"/>
      <c r="E41" s="13"/>
      <c r="F41" s="189"/>
      <c r="G41" s="189"/>
      <c r="H41" s="189"/>
      <c r="I41" s="154"/>
      <c r="J41" s="189"/>
      <c r="K41" s="14"/>
      <c r="L41" s="189"/>
      <c r="M41" s="7"/>
      <c r="N41" s="7"/>
    </row>
    <row r="42" spans="1:14" ht="18.75" x14ac:dyDescent="0.4">
      <c r="A42" s="198"/>
      <c r="B42" s="18" t="s">
        <v>240</v>
      </c>
      <c r="C42" s="198"/>
      <c r="D42" s="13"/>
      <c r="E42" s="13"/>
      <c r="F42" s="189">
        <f>+F39-F43</f>
        <v>169078038.98000002</v>
      </c>
      <c r="G42" s="189"/>
      <c r="H42" s="189">
        <f>+H39-H43</f>
        <v>387266252.05000001</v>
      </c>
      <c r="I42" s="189"/>
      <c r="J42" s="189">
        <f>J39</f>
        <v>-108170015.29999995</v>
      </c>
      <c r="K42" s="189"/>
      <c r="L42" s="189">
        <f>L39</f>
        <v>95020404.100000009</v>
      </c>
      <c r="M42" s="7"/>
      <c r="N42" s="7"/>
    </row>
    <row r="43" spans="1:14" ht="18.75" x14ac:dyDescent="0.4">
      <c r="A43" s="18"/>
      <c r="B43" s="9" t="s">
        <v>233</v>
      </c>
      <c r="C43" s="9"/>
      <c r="D43" s="13"/>
      <c r="E43" s="13"/>
      <c r="F43" s="193">
        <v>-419470.45</v>
      </c>
      <c r="G43" s="21"/>
      <c r="H43" s="193">
        <v>-295977.14</v>
      </c>
      <c r="I43" s="167"/>
      <c r="J43" s="168">
        <v>0</v>
      </c>
      <c r="K43" s="167"/>
      <c r="L43" s="168">
        <v>0</v>
      </c>
      <c r="M43" s="7"/>
      <c r="N43" s="7"/>
    </row>
    <row r="44" spans="1:14" ht="18.75" thickBot="1" x14ac:dyDescent="0.45">
      <c r="A44" s="9"/>
      <c r="B44" s="9"/>
      <c r="C44" s="9"/>
      <c r="D44" s="30"/>
      <c r="E44" s="30"/>
      <c r="F44" s="159">
        <f>SUM(F42:F43)</f>
        <v>168658568.53000003</v>
      </c>
      <c r="G44" s="158"/>
      <c r="H44" s="159">
        <f>SUM(H42:H43)</f>
        <v>386970274.91000003</v>
      </c>
      <c r="I44" s="154"/>
      <c r="J44" s="159">
        <f>SUM(J42:J43)</f>
        <v>-108170015.29999995</v>
      </c>
      <c r="K44" s="154"/>
      <c r="L44" s="159">
        <f>SUM(L42:L43)</f>
        <v>95020404.100000009</v>
      </c>
      <c r="M44" s="7"/>
      <c r="N44" s="7"/>
    </row>
    <row r="45" spans="1:14" ht="7.5" customHeight="1" thickTop="1" x14ac:dyDescent="0.4">
      <c r="A45" s="9"/>
      <c r="B45" s="9"/>
      <c r="C45" s="9"/>
      <c r="D45" s="13"/>
      <c r="E45" s="13"/>
      <c r="F45" s="189"/>
      <c r="G45" s="189"/>
      <c r="H45" s="189"/>
      <c r="I45" s="154"/>
      <c r="J45" s="21"/>
      <c r="K45" s="154"/>
      <c r="L45" s="21"/>
      <c r="M45" s="7"/>
      <c r="N45" s="7"/>
    </row>
    <row r="46" spans="1:14" ht="15" customHeight="1" x14ac:dyDescent="0.4">
      <c r="A46" s="18" t="s">
        <v>247</v>
      </c>
      <c r="B46" s="9"/>
      <c r="C46" s="9"/>
      <c r="D46" s="200"/>
      <c r="E46" s="13"/>
      <c r="F46" s="189"/>
      <c r="G46" s="189"/>
      <c r="H46" s="189"/>
      <c r="I46" s="154"/>
      <c r="J46" s="21"/>
      <c r="K46" s="154"/>
      <c r="L46" s="21"/>
      <c r="M46" s="7"/>
      <c r="N46" s="7"/>
    </row>
    <row r="47" spans="1:14" ht="18.75" thickBot="1" x14ac:dyDescent="0.45">
      <c r="A47" s="9"/>
      <c r="B47" s="18" t="s">
        <v>208</v>
      </c>
      <c r="C47" s="9"/>
      <c r="D47" s="13">
        <v>22</v>
      </c>
      <c r="E47" s="13"/>
      <c r="F47" s="177">
        <f>+F42/F48</f>
        <v>1.6912659894734297E-2</v>
      </c>
      <c r="G47" s="201"/>
      <c r="H47" s="177">
        <f>+H42/H48</f>
        <v>4.1573546060588377E-2</v>
      </c>
      <c r="I47" s="202"/>
      <c r="J47" s="177">
        <f>+J42/J48</f>
        <v>-1.0820108221112658E-2</v>
      </c>
      <c r="K47" s="202"/>
      <c r="L47" s="177">
        <f>+L42/L48</f>
        <v>1.0200566472384076E-2</v>
      </c>
      <c r="M47" s="7"/>
      <c r="N47" s="4"/>
    </row>
    <row r="48" spans="1:14" ht="19.5" thickTop="1" thickBot="1" x14ac:dyDescent="0.45">
      <c r="A48" s="9"/>
      <c r="B48" s="18" t="s">
        <v>165</v>
      </c>
      <c r="C48" s="9"/>
      <c r="D48" s="13"/>
      <c r="E48" s="13"/>
      <c r="F48" s="171">
        <v>9997128780</v>
      </c>
      <c r="G48" s="203"/>
      <c r="H48" s="171">
        <v>9315208558</v>
      </c>
      <c r="I48" s="204"/>
      <c r="J48" s="171">
        <v>9997128780</v>
      </c>
      <c r="K48" s="203"/>
      <c r="L48" s="171">
        <v>9315208558</v>
      </c>
      <c r="M48" s="7"/>
      <c r="N48" s="4"/>
    </row>
    <row r="49" spans="1:14" ht="6.75" customHeight="1" thickTop="1" x14ac:dyDescent="0.4">
      <c r="A49" s="9"/>
      <c r="B49" s="9"/>
      <c r="C49" s="9"/>
      <c r="D49" s="13"/>
      <c r="E49" s="13"/>
      <c r="F49" s="164"/>
      <c r="G49" s="164"/>
      <c r="H49" s="164"/>
      <c r="I49" s="154"/>
      <c r="J49" s="14"/>
      <c r="K49" s="154"/>
      <c r="L49" s="14"/>
      <c r="M49" s="7"/>
      <c r="N49" s="4"/>
    </row>
    <row r="50" spans="1:14" ht="14.25" customHeight="1" x14ac:dyDescent="0.4">
      <c r="A50" s="18" t="s">
        <v>248</v>
      </c>
      <c r="B50" s="9"/>
      <c r="C50" s="9"/>
      <c r="D50" s="200"/>
      <c r="E50" s="13"/>
      <c r="F50" s="189"/>
      <c r="G50" s="189"/>
      <c r="H50" s="189"/>
      <c r="I50" s="154"/>
      <c r="J50" s="21"/>
      <c r="K50" s="154"/>
      <c r="L50" s="21"/>
      <c r="M50" s="7"/>
      <c r="N50" s="7"/>
    </row>
    <row r="51" spans="1:14" ht="18.75" thickBot="1" x14ac:dyDescent="0.45">
      <c r="A51" s="9"/>
      <c r="B51" s="18" t="s">
        <v>208</v>
      </c>
      <c r="C51" s="9"/>
      <c r="D51" s="13">
        <v>22</v>
      </c>
      <c r="E51" s="13"/>
      <c r="F51" s="177">
        <f>+F42/F52</f>
        <v>1.796546214620573E-2</v>
      </c>
      <c r="G51" s="201"/>
      <c r="H51" s="177">
        <f>+H42/H52</f>
        <v>5.075896905013047E-2</v>
      </c>
      <c r="I51" s="202"/>
      <c r="J51" s="177">
        <f>+J42/J52</f>
        <v>-1.1493653031169332E-2</v>
      </c>
      <c r="K51" s="202"/>
      <c r="L51" s="177">
        <f>+L42/L52</f>
        <v>1.245431980016703E-2</v>
      </c>
      <c r="M51" s="7"/>
      <c r="N51" s="4"/>
    </row>
    <row r="52" spans="1:14" ht="19.5" thickTop="1" thickBot="1" x14ac:dyDescent="0.45">
      <c r="A52" s="9"/>
      <c r="B52" s="18" t="s">
        <v>165</v>
      </c>
      <c r="C52" s="9"/>
      <c r="D52" s="13"/>
      <c r="E52" s="13"/>
      <c r="F52" s="171">
        <v>9411282471</v>
      </c>
      <c r="G52" s="205"/>
      <c r="H52" s="171">
        <v>7629513745</v>
      </c>
      <c r="I52" s="204"/>
      <c r="J52" s="171">
        <v>9411282471</v>
      </c>
      <c r="K52" s="203"/>
      <c r="L52" s="171">
        <v>7629513745</v>
      </c>
      <c r="M52" s="7"/>
      <c r="N52" s="4"/>
    </row>
    <row r="53" spans="1:14" ht="8.25" customHeight="1" thickTop="1" x14ac:dyDescent="0.4">
      <c r="A53" s="9"/>
      <c r="B53" s="9"/>
      <c r="C53" s="9"/>
      <c r="D53" s="13"/>
      <c r="E53" s="13"/>
      <c r="F53" s="13"/>
      <c r="G53" s="13"/>
      <c r="H53" s="13"/>
      <c r="I53" s="9"/>
      <c r="J53" s="11"/>
      <c r="K53" s="9"/>
      <c r="L53" s="11"/>
      <c r="M53" s="7"/>
      <c r="N53" s="4"/>
    </row>
    <row r="54" spans="1:14" x14ac:dyDescent="0.4">
      <c r="A54" s="15" t="s">
        <v>271</v>
      </c>
      <c r="B54" s="9"/>
      <c r="C54" s="9"/>
      <c r="D54" s="13"/>
      <c r="E54" s="13"/>
      <c r="F54" s="13"/>
      <c r="G54" s="13"/>
      <c r="H54" s="13"/>
      <c r="I54" s="9"/>
      <c r="J54" s="11"/>
      <c r="K54" s="9"/>
      <c r="L54" s="11"/>
      <c r="M54" s="7"/>
      <c r="N54" s="4"/>
    </row>
    <row r="55" spans="1:14" x14ac:dyDescent="0.4">
      <c r="A55" s="9"/>
      <c r="B55" s="9"/>
      <c r="C55" s="9"/>
      <c r="D55" s="13"/>
      <c r="E55" s="13"/>
      <c r="F55" s="13"/>
      <c r="G55" s="13"/>
      <c r="H55" s="13"/>
      <c r="I55" s="9"/>
      <c r="J55" s="11"/>
      <c r="K55" s="9"/>
      <c r="L55" s="11"/>
      <c r="M55" s="7"/>
      <c r="N55" s="4"/>
    </row>
    <row r="56" spans="1:14" ht="16.5" customHeight="1" x14ac:dyDescent="0.4">
      <c r="A56" s="9"/>
      <c r="B56" s="9"/>
      <c r="C56" s="9"/>
      <c r="D56" s="13"/>
      <c r="E56" s="13"/>
      <c r="F56" s="13"/>
      <c r="G56" s="13"/>
      <c r="H56" s="13"/>
      <c r="I56" s="9"/>
      <c r="J56" s="11"/>
      <c r="K56" s="9"/>
      <c r="L56" s="11"/>
      <c r="M56" s="7"/>
      <c r="N56" s="4"/>
    </row>
    <row r="57" spans="1:14" x14ac:dyDescent="0.4">
      <c r="A57" s="13"/>
      <c r="B57" s="24" t="s">
        <v>145</v>
      </c>
      <c r="C57" s="13"/>
      <c r="D57" s="24"/>
      <c r="E57" s="13"/>
      <c r="G57" s="13"/>
      <c r="H57" s="24" t="s">
        <v>145</v>
      </c>
      <c r="I57" s="13"/>
      <c r="J57" s="13"/>
      <c r="K57" s="13"/>
      <c r="L57" s="13"/>
    </row>
    <row r="58" spans="1:14" ht="18" hidden="1" customHeight="1" x14ac:dyDescent="0.4">
      <c r="A58" s="221"/>
      <c r="B58" s="221"/>
      <c r="C58" s="221"/>
      <c r="D58" s="221"/>
      <c r="E58" s="221"/>
      <c r="F58" s="221"/>
      <c r="G58" s="221"/>
      <c r="H58" s="221"/>
      <c r="I58" s="221"/>
      <c r="J58" s="221"/>
      <c r="K58" s="221"/>
      <c r="L58" s="221"/>
    </row>
    <row r="59" spans="1:14" x14ac:dyDescent="0.4">
      <c r="B59" s="9"/>
      <c r="C59" s="9"/>
      <c r="D59" s="30"/>
      <c r="E59" s="30"/>
      <c r="F59" s="17"/>
      <c r="G59" s="30"/>
      <c r="H59" s="17"/>
      <c r="I59" s="9"/>
      <c r="J59" s="17"/>
      <c r="K59" s="17"/>
      <c r="L59" s="183"/>
    </row>
    <row r="60" spans="1:14" x14ac:dyDescent="0.4">
      <c r="A60" s="222" t="str">
        <f>A2</f>
        <v>THE BROOKER GROUP PUBLIC COMPANY LIMITED AND ITS SUBSIDIARIES</v>
      </c>
      <c r="B60" s="222"/>
      <c r="C60" s="222"/>
      <c r="D60" s="222"/>
      <c r="E60" s="222"/>
      <c r="F60" s="222"/>
      <c r="G60" s="222"/>
      <c r="H60" s="222"/>
      <c r="I60" s="222"/>
      <c r="J60" s="222"/>
      <c r="K60" s="222"/>
      <c r="L60" s="222"/>
    </row>
    <row r="61" spans="1:14" x14ac:dyDescent="0.4">
      <c r="A61" s="222" t="s">
        <v>226</v>
      </c>
      <c r="B61" s="222"/>
      <c r="C61" s="222"/>
      <c r="D61" s="222"/>
      <c r="E61" s="222"/>
      <c r="F61" s="222"/>
      <c r="G61" s="222"/>
      <c r="H61" s="222"/>
      <c r="I61" s="222"/>
      <c r="J61" s="222"/>
      <c r="K61" s="222"/>
      <c r="L61" s="222"/>
    </row>
    <row r="62" spans="1:14" x14ac:dyDescent="0.4">
      <c r="A62" s="222" t="str">
        <f>A4</f>
        <v>FOR  THE YEAR ENDED DECEMBER 31, 2024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  <c r="L62" s="222"/>
    </row>
    <row r="63" spans="1:14" x14ac:dyDescent="0.4">
      <c r="A63" s="9"/>
      <c r="B63" s="9"/>
      <c r="C63" s="26"/>
      <c r="F63" s="223" t="s">
        <v>132</v>
      </c>
      <c r="G63" s="223"/>
      <c r="H63" s="223"/>
      <c r="I63" s="223"/>
      <c r="J63" s="223"/>
      <c r="K63" s="223"/>
      <c r="L63" s="223"/>
    </row>
    <row r="64" spans="1:14" ht="18.75" x14ac:dyDescent="0.4">
      <c r="A64" s="9"/>
      <c r="B64" s="9"/>
      <c r="C64" s="9" t="s">
        <v>4</v>
      </c>
      <c r="F64" s="220" t="s">
        <v>204</v>
      </c>
      <c r="G64" s="220"/>
      <c r="H64" s="220"/>
      <c r="I64" s="184"/>
      <c r="J64" s="220" t="s">
        <v>205</v>
      </c>
      <c r="K64" s="220"/>
      <c r="L64" s="220"/>
    </row>
    <row r="65" spans="1:12" ht="18.75" x14ac:dyDescent="0.4">
      <c r="A65" s="9"/>
      <c r="B65" s="9"/>
      <c r="C65" s="9"/>
      <c r="F65" s="220" t="str">
        <f>+F7</f>
        <v>For the years ended December 31</v>
      </c>
      <c r="G65" s="220"/>
      <c r="H65" s="220"/>
      <c r="I65" s="184"/>
      <c r="J65" s="220" t="str">
        <f>+J7</f>
        <v>For the years ended December 31</v>
      </c>
      <c r="K65" s="220"/>
      <c r="L65" s="220"/>
    </row>
    <row r="66" spans="1:12" x14ac:dyDescent="0.4">
      <c r="A66" s="9"/>
      <c r="B66" s="9"/>
      <c r="C66" s="9"/>
      <c r="D66" s="185" t="s">
        <v>133</v>
      </c>
      <c r="F66" s="185">
        <f>+F8</f>
        <v>2024</v>
      </c>
      <c r="H66" s="185">
        <f>+H8</f>
        <v>2023</v>
      </c>
      <c r="J66" s="185">
        <f>+J8</f>
        <v>2024</v>
      </c>
      <c r="K66" s="6"/>
      <c r="L66" s="185">
        <f>+L8</f>
        <v>2023</v>
      </c>
    </row>
    <row r="67" spans="1:12" x14ac:dyDescent="0.4">
      <c r="A67" s="190"/>
      <c r="B67" s="9"/>
      <c r="C67" s="9"/>
      <c r="D67" s="13"/>
      <c r="E67" s="13"/>
      <c r="F67" s="10"/>
      <c r="G67" s="10"/>
      <c r="H67" s="8"/>
      <c r="I67" s="9"/>
      <c r="J67" s="11"/>
      <c r="K67" s="9"/>
      <c r="L67" s="8"/>
    </row>
    <row r="68" spans="1:12" x14ac:dyDescent="0.4">
      <c r="A68" s="9" t="s">
        <v>277</v>
      </c>
      <c r="B68" s="9"/>
      <c r="C68" s="9"/>
      <c r="D68" s="13"/>
      <c r="E68" s="13"/>
      <c r="F68" s="166">
        <f>+F39</f>
        <v>168658568.53000003</v>
      </c>
      <c r="G68" s="189"/>
      <c r="H68" s="166">
        <f>+H39</f>
        <v>386970274.91000003</v>
      </c>
      <c r="I68" s="154"/>
      <c r="J68" s="166">
        <f>+J39</f>
        <v>-108170015.29999995</v>
      </c>
      <c r="K68" s="154"/>
      <c r="L68" s="166">
        <f>+L39</f>
        <v>95020404.100000009</v>
      </c>
    </row>
    <row r="69" spans="1:12" x14ac:dyDescent="0.4">
      <c r="A69" s="9"/>
      <c r="B69" s="9"/>
      <c r="C69" s="9"/>
      <c r="D69" s="13"/>
      <c r="E69" s="13"/>
      <c r="F69" s="158"/>
      <c r="G69" s="189"/>
      <c r="H69" s="158"/>
      <c r="I69" s="154"/>
      <c r="J69" s="158"/>
      <c r="K69" s="154"/>
      <c r="L69" s="158"/>
    </row>
    <row r="70" spans="1:12" x14ac:dyDescent="0.4">
      <c r="A70" s="9" t="s">
        <v>241</v>
      </c>
      <c r="B70" s="9"/>
      <c r="C70" s="9"/>
      <c r="D70" s="13"/>
      <c r="E70" s="13"/>
      <c r="F70" s="158"/>
      <c r="G70" s="189"/>
      <c r="H70" s="158"/>
      <c r="I70" s="154"/>
      <c r="J70" s="21"/>
      <c r="K70" s="154"/>
      <c r="L70" s="21"/>
    </row>
    <row r="71" spans="1:12" x14ac:dyDescent="0.4">
      <c r="A71" s="9" t="s">
        <v>302</v>
      </c>
      <c r="B71" s="206"/>
      <c r="C71" s="206"/>
      <c r="D71" s="13"/>
      <c r="E71" s="13"/>
      <c r="F71" s="23"/>
      <c r="G71" s="189"/>
      <c r="H71" s="3"/>
      <c r="J71" s="3"/>
      <c r="L71" s="3"/>
    </row>
    <row r="72" spans="1:12" x14ac:dyDescent="0.4">
      <c r="A72" s="206"/>
      <c r="B72" s="9" t="s">
        <v>303</v>
      </c>
      <c r="C72" s="206"/>
      <c r="D72" s="13"/>
      <c r="E72" s="13"/>
      <c r="F72" s="23"/>
      <c r="G72" s="189"/>
      <c r="H72" s="23"/>
      <c r="I72" s="154"/>
      <c r="J72" s="21"/>
      <c r="K72" s="154"/>
      <c r="L72" s="21"/>
    </row>
    <row r="73" spans="1:12" x14ac:dyDescent="0.4">
      <c r="A73" s="9"/>
      <c r="B73" s="207" t="s">
        <v>266</v>
      </c>
      <c r="C73" s="9"/>
      <c r="D73" s="13"/>
      <c r="E73" s="13"/>
      <c r="F73" s="23">
        <v>-1390317.88</v>
      </c>
      <c r="G73" s="189"/>
      <c r="H73" s="23">
        <v>-9983577.5999999996</v>
      </c>
      <c r="I73" s="154"/>
      <c r="J73" s="21">
        <v>0</v>
      </c>
      <c r="K73" s="154"/>
      <c r="L73" s="21">
        <v>0</v>
      </c>
    </row>
    <row r="74" spans="1:12" ht="5.25" customHeight="1" x14ac:dyDescent="0.4">
      <c r="A74" s="9"/>
      <c r="B74" s="207"/>
      <c r="C74" s="9"/>
      <c r="D74" s="13"/>
      <c r="E74" s="13"/>
      <c r="F74" s="23"/>
      <c r="G74" s="189"/>
      <c r="H74" s="23"/>
      <c r="I74" s="154"/>
      <c r="J74" s="21"/>
      <c r="K74" s="154"/>
      <c r="L74" s="21"/>
    </row>
    <row r="75" spans="1:12" hidden="1" x14ac:dyDescent="0.4">
      <c r="A75" s="9" t="s">
        <v>304</v>
      </c>
      <c r="B75" s="206"/>
      <c r="C75" s="9"/>
      <c r="D75" s="13"/>
      <c r="E75" s="13"/>
      <c r="F75" s="23"/>
      <c r="G75" s="189"/>
      <c r="H75" s="23"/>
      <c r="I75" s="154"/>
      <c r="J75" s="21"/>
      <c r="K75" s="154"/>
      <c r="L75" s="21"/>
    </row>
    <row r="76" spans="1:12" hidden="1" x14ac:dyDescent="0.4">
      <c r="A76" s="206"/>
      <c r="B76" s="9" t="s">
        <v>303</v>
      </c>
      <c r="C76" s="9"/>
      <c r="D76" s="13"/>
      <c r="E76" s="13"/>
      <c r="F76" s="23"/>
      <c r="G76" s="189"/>
      <c r="H76" s="23"/>
      <c r="I76" s="154"/>
      <c r="J76" s="21"/>
      <c r="K76" s="154"/>
      <c r="L76" s="21"/>
    </row>
    <row r="77" spans="1:12" hidden="1" x14ac:dyDescent="0.4">
      <c r="A77" s="9"/>
      <c r="B77" s="9" t="s">
        <v>305</v>
      </c>
      <c r="C77" s="9"/>
      <c r="D77" s="13">
        <v>20</v>
      </c>
      <c r="E77" s="13"/>
      <c r="F77" s="23">
        <v>0</v>
      </c>
      <c r="G77" s="189"/>
      <c r="H77" s="23">
        <v>0</v>
      </c>
      <c r="I77" s="154"/>
      <c r="J77" s="21">
        <v>0</v>
      </c>
      <c r="K77" s="154"/>
      <c r="L77" s="21">
        <v>0</v>
      </c>
    </row>
    <row r="78" spans="1:12" hidden="1" x14ac:dyDescent="0.4">
      <c r="A78" s="9"/>
      <c r="B78" s="9" t="s">
        <v>306</v>
      </c>
      <c r="C78" s="9"/>
      <c r="D78" s="13"/>
      <c r="E78" s="13"/>
      <c r="F78" s="166">
        <v>0</v>
      </c>
      <c r="G78" s="189"/>
      <c r="H78" s="166">
        <v>0</v>
      </c>
      <c r="I78" s="154"/>
      <c r="J78" s="155">
        <v>0</v>
      </c>
      <c r="K78" s="154"/>
      <c r="L78" s="155">
        <v>0</v>
      </c>
    </row>
    <row r="79" spans="1:12" x14ac:dyDescent="0.4">
      <c r="A79" s="9" t="s">
        <v>278</v>
      </c>
      <c r="B79" s="9"/>
      <c r="C79" s="9"/>
      <c r="D79" s="13"/>
      <c r="E79" s="13"/>
      <c r="F79" s="169">
        <f>SUM(F71:F78)</f>
        <v>-1390317.88</v>
      </c>
      <c r="G79" s="189"/>
      <c r="H79" s="169">
        <f>SUM(H72:H78)</f>
        <v>-9983577.5999999996</v>
      </c>
      <c r="I79" s="154"/>
      <c r="J79" s="169">
        <f>SUM(J72:J78)</f>
        <v>0</v>
      </c>
      <c r="K79" s="154"/>
      <c r="L79" s="169">
        <f>SUM(L72:L78)</f>
        <v>0</v>
      </c>
    </row>
    <row r="80" spans="1:12" x14ac:dyDescent="0.4">
      <c r="A80" s="9"/>
      <c r="B80" s="9"/>
      <c r="C80" s="9"/>
      <c r="D80" s="13"/>
      <c r="E80" s="13"/>
      <c r="F80" s="158"/>
      <c r="G80" s="189"/>
      <c r="H80" s="158"/>
      <c r="I80" s="154"/>
      <c r="J80" s="14"/>
      <c r="K80" s="154"/>
      <c r="L80" s="14"/>
    </row>
    <row r="81" spans="1:12" ht="18.75" thickBot="1" x14ac:dyDescent="0.45">
      <c r="A81" s="9" t="s">
        <v>279</v>
      </c>
      <c r="B81" s="9"/>
      <c r="C81" s="9"/>
      <c r="D81" s="13"/>
      <c r="E81" s="13"/>
      <c r="F81" s="165">
        <f>+F68+F79</f>
        <v>167268250.65000004</v>
      </c>
      <c r="G81" s="189"/>
      <c r="H81" s="165">
        <f>+H68+H79</f>
        <v>376986697.31</v>
      </c>
      <c r="I81" s="154"/>
      <c r="J81" s="165">
        <f>+J68+J79</f>
        <v>-108170015.29999995</v>
      </c>
      <c r="K81" s="154"/>
      <c r="L81" s="165">
        <f>+L68+L79</f>
        <v>95020404.100000009</v>
      </c>
    </row>
    <row r="82" spans="1:12" ht="18.75" thickTop="1" x14ac:dyDescent="0.4">
      <c r="A82" s="9"/>
      <c r="B82" s="9"/>
      <c r="C82" s="9"/>
      <c r="D82" s="13"/>
      <c r="E82" s="13"/>
      <c r="F82" s="164"/>
      <c r="G82" s="164"/>
      <c r="H82" s="164"/>
      <c r="I82" s="154"/>
      <c r="J82" s="14"/>
      <c r="K82" s="154"/>
      <c r="L82" s="14"/>
    </row>
    <row r="83" spans="1:12" ht="18.75" x14ac:dyDescent="0.4">
      <c r="A83" s="18" t="s">
        <v>242</v>
      </c>
      <c r="B83" s="18"/>
      <c r="C83" s="18"/>
      <c r="D83" s="208"/>
      <c r="E83" s="145"/>
      <c r="F83" s="168"/>
      <c r="G83" s="209"/>
      <c r="H83" s="168"/>
      <c r="I83" s="167"/>
      <c r="J83" s="168"/>
      <c r="K83" s="209"/>
      <c r="L83" s="209"/>
    </row>
    <row r="84" spans="1:12" ht="18.75" x14ac:dyDescent="0.4">
      <c r="A84" s="18"/>
      <c r="B84" s="18" t="s">
        <v>240</v>
      </c>
      <c r="C84" s="18"/>
      <c r="D84" s="208"/>
      <c r="E84" s="210">
        <v>852812933</v>
      </c>
      <c r="F84" s="23">
        <f>+F81-F85</f>
        <v>167687721.10000002</v>
      </c>
      <c r="G84" s="189"/>
      <c r="H84" s="23">
        <f>+H81-H85</f>
        <v>377282674.44999999</v>
      </c>
      <c r="I84" s="189"/>
      <c r="J84" s="23">
        <f>+J81-J85</f>
        <v>-108170015.29999995</v>
      </c>
      <c r="K84" s="189"/>
      <c r="L84" s="23">
        <f>+L81-L85</f>
        <v>95020404.100000009</v>
      </c>
    </row>
    <row r="85" spans="1:12" ht="18.75" x14ac:dyDescent="0.4">
      <c r="A85" s="18"/>
      <c r="B85" s="9" t="s">
        <v>233</v>
      </c>
      <c r="C85" s="9"/>
      <c r="D85" s="208"/>
      <c r="E85" s="210">
        <v>-1541152</v>
      </c>
      <c r="F85" s="23">
        <f>+F43</f>
        <v>-419470.45</v>
      </c>
      <c r="G85" s="21"/>
      <c r="H85" s="23">
        <f>+H43</f>
        <v>-295977.14</v>
      </c>
      <c r="I85" s="167"/>
      <c r="J85" s="23">
        <f>+J43</f>
        <v>0</v>
      </c>
      <c r="K85" s="167"/>
      <c r="L85" s="23">
        <f>+L43</f>
        <v>0</v>
      </c>
    </row>
    <row r="86" spans="1:12" ht="19.5" thickBot="1" x14ac:dyDescent="0.45">
      <c r="A86" s="211"/>
      <c r="B86" s="211"/>
      <c r="C86" s="211"/>
      <c r="D86" s="208"/>
      <c r="E86" s="210"/>
      <c r="F86" s="170">
        <f>SUM(F84:F85)</f>
        <v>167268250.65000004</v>
      </c>
      <c r="G86" s="209"/>
      <c r="H86" s="197">
        <f>SUM(H84:H85)</f>
        <v>376986697.31</v>
      </c>
      <c r="I86" s="209"/>
      <c r="J86" s="170">
        <f>SUM(J84:J85)</f>
        <v>-108170015.29999995</v>
      </c>
      <c r="K86" s="209"/>
      <c r="L86" s="197">
        <f>SUM(L84:L85)</f>
        <v>95020404.100000009</v>
      </c>
    </row>
    <row r="87" spans="1:12" ht="19.5" thickTop="1" x14ac:dyDescent="0.4">
      <c r="A87" s="211"/>
      <c r="B87" s="211"/>
      <c r="C87" s="211"/>
      <c r="D87" s="208"/>
      <c r="E87" s="210"/>
      <c r="F87" s="23"/>
      <c r="G87" s="209"/>
      <c r="H87" s="189"/>
      <c r="I87" s="209"/>
      <c r="J87" s="189"/>
      <c r="K87" s="209"/>
      <c r="L87" s="189"/>
    </row>
    <row r="88" spans="1:12" ht="18.75" x14ac:dyDescent="0.4">
      <c r="A88" s="15" t="s">
        <v>271</v>
      </c>
      <c r="B88" s="211"/>
      <c r="C88" s="211"/>
      <c r="D88" s="208"/>
      <c r="E88" s="210"/>
      <c r="F88" s="23"/>
      <c r="G88" s="209"/>
      <c r="H88" s="189"/>
      <c r="I88" s="209"/>
      <c r="J88" s="189"/>
      <c r="K88" s="209"/>
      <c r="L88" s="189"/>
    </row>
    <row r="89" spans="1:12" ht="18.75" x14ac:dyDescent="0.4">
      <c r="A89" s="211"/>
      <c r="B89" s="211"/>
      <c r="C89" s="211"/>
      <c r="D89" s="208"/>
      <c r="E89" s="210"/>
      <c r="F89" s="23"/>
      <c r="G89" s="209"/>
      <c r="H89" s="189"/>
      <c r="I89" s="209"/>
      <c r="J89" s="189"/>
      <c r="K89" s="209"/>
      <c r="L89" s="189"/>
    </row>
    <row r="90" spans="1:12" ht="18.75" x14ac:dyDescent="0.4">
      <c r="A90" s="211"/>
      <c r="B90" s="211"/>
      <c r="C90" s="211"/>
      <c r="D90" s="208"/>
      <c r="E90" s="210"/>
      <c r="F90" s="23"/>
      <c r="G90" s="209"/>
      <c r="H90" s="189"/>
      <c r="I90" s="209"/>
      <c r="J90" s="189"/>
      <c r="K90" s="209"/>
      <c r="L90" s="189"/>
    </row>
    <row r="91" spans="1:12" ht="18.75" x14ac:dyDescent="0.4">
      <c r="A91" s="211"/>
      <c r="B91" s="211"/>
      <c r="C91" s="211"/>
      <c r="D91" s="208"/>
      <c r="E91" s="210"/>
      <c r="F91" s="23"/>
      <c r="G91" s="209"/>
      <c r="H91" s="189"/>
      <c r="I91" s="209"/>
      <c r="J91" s="189"/>
      <c r="K91" s="209"/>
      <c r="L91" s="189"/>
    </row>
    <row r="92" spans="1:12" ht="18.75" x14ac:dyDescent="0.4">
      <c r="A92" s="211"/>
      <c r="B92" s="211"/>
      <c r="C92" s="211"/>
      <c r="D92" s="208"/>
      <c r="E92" s="210"/>
      <c r="F92" s="23"/>
      <c r="G92" s="209"/>
      <c r="H92" s="189"/>
      <c r="I92" s="209"/>
      <c r="J92" s="189"/>
      <c r="K92" s="209"/>
      <c r="L92" s="189"/>
    </row>
    <row r="93" spans="1:12" ht="18.75" x14ac:dyDescent="0.4">
      <c r="A93" s="211"/>
      <c r="B93" s="211"/>
      <c r="C93" s="211"/>
      <c r="D93" s="208"/>
      <c r="E93" s="210"/>
      <c r="F93" s="23"/>
      <c r="G93" s="209"/>
      <c r="H93" s="189"/>
      <c r="I93" s="209"/>
      <c r="J93" s="189"/>
      <c r="K93" s="209"/>
      <c r="L93" s="189"/>
    </row>
    <row r="94" spans="1:12" ht="18.75" x14ac:dyDescent="0.4">
      <c r="A94" s="211"/>
      <c r="B94" s="211"/>
      <c r="C94" s="211"/>
      <c r="D94" s="208"/>
      <c r="E94" s="210"/>
      <c r="F94" s="23"/>
      <c r="G94" s="209"/>
      <c r="H94" s="189"/>
      <c r="I94" s="209"/>
      <c r="J94" s="189"/>
      <c r="K94" s="209"/>
      <c r="L94" s="189"/>
    </row>
    <row r="95" spans="1:12" ht="18.75" x14ac:dyDescent="0.4">
      <c r="A95" s="211"/>
      <c r="B95" s="211"/>
      <c r="C95" s="211"/>
      <c r="D95" s="208"/>
      <c r="E95" s="210"/>
      <c r="F95" s="23"/>
      <c r="G95" s="209"/>
      <c r="H95" s="189"/>
      <c r="I95" s="209"/>
      <c r="J95" s="189"/>
      <c r="K95" s="209"/>
      <c r="L95" s="189"/>
    </row>
    <row r="96" spans="1:12" ht="18.75" x14ac:dyDescent="0.4">
      <c r="A96" s="211"/>
      <c r="B96" s="211"/>
      <c r="C96" s="211"/>
      <c r="D96" s="208"/>
      <c r="E96" s="210"/>
      <c r="F96" s="23"/>
      <c r="G96" s="209"/>
      <c r="H96" s="189"/>
      <c r="I96" s="209"/>
      <c r="J96" s="189"/>
      <c r="K96" s="209"/>
      <c r="L96" s="189"/>
    </row>
    <row r="97" spans="1:12" ht="18.75" x14ac:dyDescent="0.4">
      <c r="A97" s="211"/>
      <c r="B97" s="211"/>
      <c r="C97" s="211"/>
      <c r="D97" s="208"/>
      <c r="E97" s="210"/>
      <c r="F97" s="23"/>
      <c r="G97" s="209"/>
      <c r="H97" s="189"/>
      <c r="I97" s="209"/>
      <c r="J97" s="189"/>
      <c r="K97" s="209"/>
      <c r="L97" s="189"/>
    </row>
    <row r="98" spans="1:12" ht="18.75" x14ac:dyDescent="0.4">
      <c r="A98" s="211"/>
      <c r="B98" s="211"/>
      <c r="C98" s="211"/>
      <c r="D98" s="208"/>
      <c r="E98" s="210"/>
      <c r="F98" s="23"/>
      <c r="G98" s="209"/>
      <c r="H98" s="189"/>
      <c r="I98" s="209"/>
      <c r="J98" s="189"/>
      <c r="K98" s="209"/>
      <c r="L98" s="189"/>
    </row>
    <row r="99" spans="1:12" ht="18.75" x14ac:dyDescent="0.4">
      <c r="A99" s="211"/>
      <c r="B99" s="211"/>
      <c r="C99" s="211"/>
      <c r="D99" s="208"/>
      <c r="E99" s="210"/>
      <c r="F99" s="23"/>
      <c r="G99" s="209"/>
      <c r="H99" s="189"/>
      <c r="I99" s="209"/>
      <c r="J99" s="189"/>
      <c r="K99" s="209"/>
      <c r="L99" s="189"/>
    </row>
    <row r="100" spans="1:12" ht="18.75" x14ac:dyDescent="0.4">
      <c r="A100" s="211"/>
      <c r="B100" s="211"/>
      <c r="C100" s="211"/>
      <c r="D100" s="208"/>
      <c r="E100" s="210"/>
      <c r="F100" s="23"/>
      <c r="G100" s="209"/>
      <c r="H100" s="189"/>
      <c r="I100" s="209"/>
      <c r="J100" s="189"/>
      <c r="K100" s="209"/>
      <c r="L100" s="189"/>
    </row>
    <row r="101" spans="1:12" ht="18.75" x14ac:dyDescent="0.4">
      <c r="A101" s="211"/>
      <c r="B101" s="211"/>
      <c r="C101" s="211"/>
      <c r="D101" s="208"/>
      <c r="E101" s="210"/>
      <c r="F101" s="23"/>
      <c r="G101" s="209"/>
      <c r="H101" s="189"/>
      <c r="I101" s="209"/>
      <c r="J101" s="189"/>
      <c r="K101" s="209"/>
      <c r="L101" s="189"/>
    </row>
    <row r="102" spans="1:12" ht="18.75" x14ac:dyDescent="0.4">
      <c r="A102" s="211"/>
      <c r="B102" s="211"/>
      <c r="C102" s="211"/>
      <c r="D102" s="208"/>
      <c r="E102" s="210"/>
      <c r="F102" s="23"/>
      <c r="G102" s="209"/>
      <c r="H102" s="189"/>
      <c r="I102" s="209"/>
      <c r="J102" s="189"/>
      <c r="K102" s="209"/>
      <c r="L102" s="189"/>
    </row>
    <row r="103" spans="1:12" ht="18.75" x14ac:dyDescent="0.4">
      <c r="A103" s="211"/>
      <c r="B103" s="211"/>
      <c r="C103" s="211"/>
      <c r="D103" s="208"/>
      <c r="E103" s="210"/>
      <c r="F103" s="23"/>
      <c r="G103" s="209"/>
      <c r="H103" s="189"/>
      <c r="I103" s="209"/>
      <c r="J103" s="189"/>
      <c r="K103" s="209"/>
      <c r="L103" s="189"/>
    </row>
    <row r="104" spans="1:12" ht="18.75" x14ac:dyDescent="0.4">
      <c r="A104" s="211"/>
      <c r="B104" s="211"/>
      <c r="C104" s="211"/>
      <c r="D104" s="208"/>
      <c r="E104" s="210"/>
      <c r="F104" s="23"/>
      <c r="G104" s="209"/>
      <c r="H104" s="189"/>
      <c r="I104" s="209"/>
      <c r="J104" s="189"/>
      <c r="K104" s="209"/>
      <c r="L104" s="189"/>
    </row>
    <row r="105" spans="1:12" ht="18.75" x14ac:dyDescent="0.4">
      <c r="A105" s="211"/>
      <c r="B105" s="211"/>
      <c r="C105" s="211"/>
      <c r="D105" s="208"/>
      <c r="E105" s="210"/>
      <c r="F105" s="23"/>
      <c r="G105" s="209"/>
      <c r="H105" s="189"/>
      <c r="I105" s="209"/>
      <c r="J105" s="189"/>
      <c r="K105" s="209"/>
      <c r="L105" s="189"/>
    </row>
    <row r="106" spans="1:12" ht="18.75" x14ac:dyDescent="0.4">
      <c r="A106" s="211"/>
      <c r="B106" s="211"/>
      <c r="C106" s="211"/>
      <c r="D106" s="208"/>
      <c r="E106" s="210"/>
      <c r="F106" s="23"/>
      <c r="G106" s="209"/>
      <c r="H106" s="189"/>
      <c r="I106" s="209"/>
      <c r="J106" s="189"/>
      <c r="K106" s="209"/>
      <c r="L106" s="189"/>
    </row>
    <row r="107" spans="1:12" ht="18.75" x14ac:dyDescent="0.4">
      <c r="A107" s="211"/>
      <c r="B107" s="211"/>
      <c r="C107" s="211"/>
      <c r="D107" s="208"/>
      <c r="E107" s="210"/>
      <c r="F107" s="23"/>
      <c r="G107" s="210"/>
      <c r="H107" s="10"/>
      <c r="I107" s="210"/>
      <c r="J107" s="10"/>
      <c r="K107" s="210"/>
      <c r="L107" s="10"/>
    </row>
    <row r="108" spans="1:12" x14ac:dyDescent="0.4">
      <c r="A108" s="128"/>
      <c r="B108" s="9"/>
      <c r="C108" s="9"/>
      <c r="D108" s="13"/>
      <c r="E108" s="13"/>
      <c r="F108" s="13"/>
      <c r="G108" s="13"/>
      <c r="H108" s="13"/>
      <c r="I108" s="9"/>
      <c r="J108" s="11"/>
      <c r="K108" s="9"/>
      <c r="L108" s="11"/>
    </row>
    <row r="109" spans="1:12" x14ac:dyDescent="0.4">
      <c r="A109" s="9"/>
      <c r="B109" s="9"/>
      <c r="C109" s="9"/>
      <c r="D109" s="13"/>
      <c r="E109" s="13"/>
      <c r="F109" s="13"/>
      <c r="G109" s="13"/>
      <c r="H109" s="13"/>
      <c r="I109" s="9"/>
      <c r="J109" s="11"/>
      <c r="K109" s="9"/>
      <c r="L109" s="11"/>
    </row>
    <row r="110" spans="1:12" x14ac:dyDescent="0.4">
      <c r="A110" s="13"/>
      <c r="B110" s="24" t="s">
        <v>145</v>
      </c>
      <c r="C110" s="13"/>
      <c r="D110" s="24"/>
      <c r="E110" s="13"/>
      <c r="G110" s="13"/>
      <c r="H110" s="24" t="s">
        <v>145</v>
      </c>
      <c r="I110" s="13"/>
      <c r="J110" s="13"/>
      <c r="K110" s="13"/>
      <c r="L110" s="13"/>
    </row>
    <row r="111" spans="1:12" x14ac:dyDescent="0.4">
      <c r="A111" s="221"/>
      <c r="B111" s="221"/>
      <c r="C111" s="221"/>
      <c r="D111" s="221"/>
      <c r="E111" s="221"/>
      <c r="F111" s="221"/>
      <c r="G111" s="221"/>
      <c r="H111" s="221"/>
      <c r="I111" s="221"/>
      <c r="J111" s="221"/>
      <c r="K111" s="221"/>
      <c r="L111" s="221"/>
    </row>
    <row r="112" spans="1:12" x14ac:dyDescent="0.4">
      <c r="A112" s="221"/>
      <c r="B112" s="221"/>
      <c r="C112" s="221"/>
      <c r="D112" s="221"/>
      <c r="E112" s="221"/>
      <c r="F112" s="221"/>
      <c r="G112" s="221"/>
      <c r="H112" s="221"/>
      <c r="I112" s="221"/>
      <c r="J112" s="221"/>
      <c r="K112" s="221"/>
      <c r="L112" s="221"/>
    </row>
  </sheetData>
  <mergeCells count="19">
    <mergeCell ref="A112:L112"/>
    <mergeCell ref="A111:L111"/>
    <mergeCell ref="A61:L61"/>
    <mergeCell ref="A62:L62"/>
    <mergeCell ref="F65:H65"/>
    <mergeCell ref="J65:L65"/>
    <mergeCell ref="F63:L63"/>
    <mergeCell ref="F64:H64"/>
    <mergeCell ref="J64:L64"/>
    <mergeCell ref="A60:L60"/>
    <mergeCell ref="A2:L2"/>
    <mergeCell ref="A3:L3"/>
    <mergeCell ref="A4:L4"/>
    <mergeCell ref="A58:L58"/>
    <mergeCell ref="F6:H6"/>
    <mergeCell ref="J6:L6"/>
    <mergeCell ref="F7:H7"/>
    <mergeCell ref="F5:L5"/>
    <mergeCell ref="J7:L7"/>
  </mergeCells>
  <phoneticPr fontId="0" type="noConversion"/>
  <conditionalFormatting sqref="G43 I43:L43 F83:L83 E83:E107 G85:G107 I85:I107 K85:K107">
    <cfRule type="expression" priority="3" stopIfTrue="1">
      <formula>"if(E11&gt;0,#,##0;(#,##0),"-")"</formula>
    </cfRule>
  </conditionalFormatting>
  <pageMargins left="0.69488189" right="0" top="0.35" bottom="0.27" header="0.23" footer="0"/>
  <pageSetup paperSize="9" scale="90" firstPageNumber="6" orientation="portrait" useFirstPageNumber="1" r:id="rId1"/>
  <headerFooter alignWithMargins="0">
    <oddFooter>&amp;C&amp;P</oddFooter>
  </headerFooter>
  <rowBreaks count="1" manualBreakCount="1">
    <brk id="58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1"/>
  <sheetViews>
    <sheetView view="pageBreakPreview" zoomScaleNormal="120" zoomScaleSheetLayoutView="100" workbookViewId="0">
      <selection activeCell="D10" sqref="D10"/>
    </sheetView>
  </sheetViews>
  <sheetFormatPr defaultColWidth="9.140625" defaultRowHeight="16.5" customHeight="1" x14ac:dyDescent="0.4"/>
  <cols>
    <col min="1" max="3" width="2.85546875" style="18" customWidth="1"/>
    <col min="4" max="4" width="44" style="18" bestFit="1" customWidth="1"/>
    <col min="5" max="5" width="6" style="13" customWidth="1"/>
    <col min="6" max="6" width="1.140625" style="13" customWidth="1"/>
    <col min="7" max="7" width="12.42578125" style="18" customWidth="1"/>
    <col min="8" max="8" width="0.85546875" style="18" customWidth="1"/>
    <col min="9" max="9" width="13" style="18" customWidth="1"/>
    <col min="10" max="10" width="0.5703125" style="18" customWidth="1"/>
    <col min="11" max="11" width="13.140625" style="212" bestFit="1" customWidth="1"/>
    <col min="12" max="12" width="0.85546875" style="18" customWidth="1"/>
    <col min="13" max="13" width="13.140625" style="18" bestFit="1" customWidth="1"/>
    <col min="14" max="14" width="11.85546875" style="18" customWidth="1"/>
    <col min="15" max="15" width="12.85546875" style="18" customWidth="1"/>
    <col min="16" max="16" width="13.140625" style="18" customWidth="1"/>
    <col min="17" max="16384" width="9.140625" style="18"/>
  </cols>
  <sheetData>
    <row r="1" spans="1:15" ht="16.5" customHeight="1" x14ac:dyDescent="0.4">
      <c r="A1" s="3"/>
      <c r="M1" s="183"/>
    </row>
    <row r="2" spans="1:15" ht="16.5" customHeight="1" x14ac:dyDescent="0.4">
      <c r="M2" s="183"/>
    </row>
    <row r="3" spans="1:15" ht="16.5" customHeight="1" x14ac:dyDescent="0.4">
      <c r="A3" s="222" t="s">
        <v>131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1:15" ht="16.5" customHeight="1" x14ac:dyDescent="0.4">
      <c r="A4" s="227" t="s">
        <v>179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</row>
    <row r="5" spans="1:15" ht="16.5" customHeight="1" x14ac:dyDescent="0.4">
      <c r="A5" s="227" t="s">
        <v>358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</row>
    <row r="6" spans="1:15" ht="16.5" customHeight="1" x14ac:dyDescent="0.4">
      <c r="A6" s="8"/>
      <c r="B6" s="8"/>
      <c r="C6" s="8"/>
      <c r="D6" s="8"/>
      <c r="E6" s="213"/>
      <c r="F6" s="213"/>
      <c r="G6" s="238" t="s">
        <v>166</v>
      </c>
      <c r="H6" s="238"/>
      <c r="I6" s="238"/>
      <c r="J6" s="238"/>
      <c r="K6" s="238"/>
      <c r="L6" s="238"/>
      <c r="M6" s="238"/>
    </row>
    <row r="7" spans="1:15" ht="16.5" customHeight="1" x14ac:dyDescent="0.4">
      <c r="E7" s="213"/>
      <c r="F7" s="213"/>
      <c r="G7" s="220" t="s">
        <v>204</v>
      </c>
      <c r="H7" s="220"/>
      <c r="I7" s="220"/>
      <c r="J7" s="184"/>
      <c r="K7" s="220" t="s">
        <v>205</v>
      </c>
      <c r="L7" s="220"/>
      <c r="M7" s="220"/>
    </row>
    <row r="8" spans="1:15" ht="16.5" customHeight="1" x14ac:dyDescent="0.4">
      <c r="E8" s="213"/>
      <c r="F8" s="213"/>
      <c r="G8" s="220" t="s">
        <v>275</v>
      </c>
      <c r="H8" s="220"/>
      <c r="I8" s="220"/>
      <c r="J8" s="184"/>
      <c r="K8" s="220" t="s">
        <v>275</v>
      </c>
      <c r="L8" s="220"/>
      <c r="M8" s="220"/>
    </row>
    <row r="9" spans="1:15" ht="16.5" customHeight="1" x14ac:dyDescent="0.4">
      <c r="E9" s="213"/>
      <c r="F9" s="213"/>
      <c r="G9" s="214">
        <v>2024</v>
      </c>
      <c r="H9" s="213"/>
      <c r="I9" s="214">
        <v>2023</v>
      </c>
      <c r="J9" s="184"/>
      <c r="K9" s="146">
        <f>+G9</f>
        <v>2024</v>
      </c>
      <c r="L9" s="213"/>
      <c r="M9" s="146">
        <f>+I9</f>
        <v>2023</v>
      </c>
      <c r="N9" s="13"/>
      <c r="O9" s="27"/>
    </row>
    <row r="10" spans="1:15" ht="16.5" customHeight="1" x14ac:dyDescent="0.4">
      <c r="A10" s="18" t="s">
        <v>180</v>
      </c>
      <c r="B10" s="15"/>
      <c r="C10" s="15"/>
      <c r="D10" s="15"/>
      <c r="E10" s="213"/>
      <c r="F10" s="196"/>
      <c r="G10" s="215"/>
      <c r="H10" s="215"/>
      <c r="I10" s="215"/>
      <c r="J10" s="212"/>
      <c r="L10" s="212"/>
      <c r="M10" s="212"/>
    </row>
    <row r="11" spans="1:15" ht="16.5" customHeight="1" x14ac:dyDescent="0.4">
      <c r="A11" s="15"/>
      <c r="B11" s="18" t="s">
        <v>267</v>
      </c>
      <c r="C11" s="15"/>
      <c r="D11" s="15"/>
      <c r="E11" s="213"/>
      <c r="F11" s="196"/>
      <c r="G11" s="14">
        <f>+'PL_Q4-67'!F39</f>
        <v>168658568.53000003</v>
      </c>
      <c r="H11" s="14"/>
      <c r="I11" s="14">
        <f>+'PL_Q4-67'!H39</f>
        <v>386970274.91000003</v>
      </c>
      <c r="J11" s="14"/>
      <c r="K11" s="14">
        <f>+'PL_Q4-67'!J39</f>
        <v>-108170015.29999995</v>
      </c>
      <c r="L11" s="14"/>
      <c r="M11" s="14">
        <f>+'PL_Q4-67'!L39</f>
        <v>95020404.100000009</v>
      </c>
    </row>
    <row r="12" spans="1:15" ht="16.5" customHeight="1" x14ac:dyDescent="0.4">
      <c r="A12" s="15"/>
      <c r="B12" s="18" t="s">
        <v>182</v>
      </c>
      <c r="C12" s="15"/>
      <c r="D12" s="15"/>
      <c r="E12" s="213"/>
      <c r="F12" s="196"/>
      <c r="G12" s="14"/>
      <c r="H12" s="14"/>
      <c r="I12" s="14"/>
      <c r="J12" s="14"/>
      <c r="K12" s="14"/>
      <c r="L12" s="14"/>
      <c r="M12" s="14"/>
    </row>
    <row r="13" spans="1:15" ht="16.5" customHeight="1" x14ac:dyDescent="0.4">
      <c r="A13" s="15"/>
      <c r="C13" s="18" t="s">
        <v>200</v>
      </c>
      <c r="D13" s="15"/>
      <c r="E13" s="196"/>
      <c r="F13" s="196"/>
      <c r="G13" s="14"/>
      <c r="H13" s="14"/>
      <c r="I13" s="14"/>
      <c r="J13" s="14"/>
      <c r="K13" s="14"/>
      <c r="L13" s="14"/>
      <c r="M13" s="14"/>
    </row>
    <row r="14" spans="1:15" ht="16.5" customHeight="1" x14ac:dyDescent="0.4">
      <c r="A14" s="15"/>
      <c r="C14" s="18" t="s">
        <v>181</v>
      </c>
      <c r="D14" s="18" t="s">
        <v>346</v>
      </c>
      <c r="E14" s="196" t="s">
        <v>345</v>
      </c>
      <c r="F14" s="196"/>
      <c r="G14" s="14">
        <v>11082161.369999999</v>
      </c>
      <c r="H14" s="14"/>
      <c r="I14" s="14">
        <v>25757158.66</v>
      </c>
      <c r="J14" s="14"/>
      <c r="K14" s="14">
        <v>7586242.79</v>
      </c>
      <c r="L14" s="14"/>
      <c r="M14" s="14">
        <v>7304460.9800000004</v>
      </c>
    </row>
    <row r="15" spans="1:15" ht="16.5" customHeight="1" x14ac:dyDescent="0.4">
      <c r="A15" s="15"/>
      <c r="D15" s="18" t="s">
        <v>344</v>
      </c>
      <c r="E15" s="196" t="s">
        <v>381</v>
      </c>
      <c r="F15" s="196"/>
      <c r="G15" s="14">
        <v>-7405235.29</v>
      </c>
      <c r="H15" s="14"/>
      <c r="I15" s="14">
        <v>16330010.210000001</v>
      </c>
      <c r="J15" s="14"/>
      <c r="K15" s="14">
        <v>0</v>
      </c>
      <c r="L15" s="14"/>
      <c r="M15" s="14">
        <v>0</v>
      </c>
    </row>
    <row r="16" spans="1:15" ht="16.5" customHeight="1" x14ac:dyDescent="0.4">
      <c r="A16" s="15"/>
      <c r="B16" s="15"/>
      <c r="C16" s="15"/>
      <c r="D16" s="15" t="s">
        <v>218</v>
      </c>
      <c r="E16" s="196"/>
      <c r="F16" s="196"/>
      <c r="G16" s="14">
        <v>44633333.340000004</v>
      </c>
      <c r="H16" s="14"/>
      <c r="I16" s="14">
        <v>6970000</v>
      </c>
      <c r="J16" s="14"/>
      <c r="K16" s="14">
        <v>44633333.340000004</v>
      </c>
      <c r="L16" s="14"/>
      <c r="M16" s="14">
        <v>0</v>
      </c>
    </row>
    <row r="17" spans="1:13" ht="16.5" customHeight="1" x14ac:dyDescent="0.4">
      <c r="A17" s="15"/>
      <c r="B17" s="15"/>
      <c r="C17" s="15"/>
      <c r="D17" s="15" t="s">
        <v>385</v>
      </c>
      <c r="E17" s="196">
        <v>10</v>
      </c>
      <c r="F17" s="196"/>
      <c r="G17" s="14">
        <v>30463926.289999999</v>
      </c>
      <c r="H17" s="14"/>
      <c r="I17" s="14">
        <v>4334273</v>
      </c>
      <c r="J17" s="14"/>
      <c r="K17" s="14">
        <v>30463926.289999999</v>
      </c>
      <c r="L17" s="14"/>
      <c r="M17" s="14">
        <v>4334273</v>
      </c>
    </row>
    <row r="18" spans="1:13" ht="16.5" customHeight="1" x14ac:dyDescent="0.4">
      <c r="A18" s="15"/>
      <c r="B18" s="15"/>
      <c r="C18" s="15"/>
      <c r="D18" s="15" t="s">
        <v>372</v>
      </c>
      <c r="E18" s="196">
        <v>14</v>
      </c>
      <c r="F18" s="196"/>
      <c r="G18" s="14">
        <v>5992283.4100000001</v>
      </c>
      <c r="H18" s="14"/>
      <c r="I18" s="14">
        <v>0</v>
      </c>
      <c r="J18" s="14"/>
      <c r="K18" s="14">
        <v>0</v>
      </c>
      <c r="L18" s="14"/>
      <c r="M18" s="14">
        <v>0</v>
      </c>
    </row>
    <row r="19" spans="1:13" ht="16.5" customHeight="1" x14ac:dyDescent="0.4">
      <c r="A19" s="15"/>
      <c r="B19" s="15"/>
      <c r="C19" s="15"/>
      <c r="D19" s="9" t="s">
        <v>325</v>
      </c>
      <c r="E19" s="143" t="s">
        <v>327</v>
      </c>
      <c r="F19" s="196"/>
      <c r="G19" s="14">
        <v>9562347.1300000008</v>
      </c>
      <c r="H19" s="21"/>
      <c r="I19" s="14">
        <v>-15624673.189999999</v>
      </c>
      <c r="J19" s="21"/>
      <c r="K19" s="14">
        <v>79139805.439999998</v>
      </c>
      <c r="L19" s="14"/>
      <c r="M19" s="14">
        <v>40033043.039999999</v>
      </c>
    </row>
    <row r="20" spans="1:13" ht="16.5" customHeight="1" x14ac:dyDescent="0.4">
      <c r="A20" s="15"/>
      <c r="B20" s="15"/>
      <c r="C20" s="15"/>
      <c r="D20" s="9" t="s">
        <v>347</v>
      </c>
      <c r="E20" s="143"/>
      <c r="F20" s="196"/>
      <c r="G20" s="14">
        <v>-70267206.829999998</v>
      </c>
      <c r="H20" s="21"/>
      <c r="I20" s="14">
        <v>-289297561.66000003</v>
      </c>
      <c r="J20" s="21"/>
      <c r="K20" s="14">
        <v>-88789.87</v>
      </c>
      <c r="L20" s="14"/>
      <c r="M20" s="14">
        <v>-21891.73</v>
      </c>
    </row>
    <row r="21" spans="1:13" ht="16.5" customHeight="1" x14ac:dyDescent="0.4">
      <c r="A21" s="15"/>
      <c r="B21" s="15"/>
      <c r="C21" s="15"/>
      <c r="D21" s="9" t="s">
        <v>365</v>
      </c>
      <c r="E21" s="143"/>
      <c r="F21" s="196"/>
      <c r="G21" s="14">
        <v>-108567902.98</v>
      </c>
      <c r="H21" s="21"/>
      <c r="I21" s="14">
        <v>66287816.030000001</v>
      </c>
      <c r="J21" s="21"/>
      <c r="K21" s="14">
        <v>-12.22</v>
      </c>
      <c r="L21" s="14"/>
      <c r="M21" s="14">
        <v>1383.2</v>
      </c>
    </row>
    <row r="22" spans="1:13" ht="16.5" customHeight="1" x14ac:dyDescent="0.4">
      <c r="A22" s="15"/>
      <c r="B22" s="15"/>
      <c r="C22" s="15"/>
      <c r="D22" s="9" t="s">
        <v>364</v>
      </c>
      <c r="E22" s="143"/>
      <c r="F22" s="196"/>
      <c r="G22" s="14">
        <v>-114898653.03</v>
      </c>
      <c r="H22" s="21"/>
      <c r="I22" s="14">
        <v>-34472498.960000001</v>
      </c>
      <c r="J22" s="21"/>
      <c r="K22" s="14">
        <v>-53909.74</v>
      </c>
      <c r="L22" s="14"/>
      <c r="M22" s="14">
        <v>-9440.5</v>
      </c>
    </row>
    <row r="23" spans="1:13" ht="16.5" customHeight="1" x14ac:dyDescent="0.4">
      <c r="A23" s="15"/>
      <c r="B23" s="15"/>
      <c r="C23" s="15"/>
      <c r="D23" s="15" t="s">
        <v>314</v>
      </c>
      <c r="F23" s="196"/>
      <c r="G23" s="14">
        <v>-4000000</v>
      </c>
      <c r="H23" s="21"/>
      <c r="I23" s="14">
        <v>-5000000</v>
      </c>
      <c r="J23" s="21"/>
      <c r="K23" s="154">
        <v>-4000000</v>
      </c>
      <c r="L23" s="14"/>
      <c r="M23" s="154">
        <v>-5000000</v>
      </c>
    </row>
    <row r="24" spans="1:13" ht="16.5" customHeight="1" x14ac:dyDescent="0.4">
      <c r="A24" s="15"/>
      <c r="B24" s="15"/>
      <c r="C24" s="15"/>
      <c r="D24" s="15" t="s">
        <v>268</v>
      </c>
      <c r="E24" s="13">
        <v>21</v>
      </c>
      <c r="F24" s="196"/>
      <c r="G24" s="14">
        <v>2871532</v>
      </c>
      <c r="H24" s="21"/>
      <c r="I24" s="14">
        <v>2745250</v>
      </c>
      <c r="J24" s="21"/>
      <c r="K24" s="14">
        <v>2854733.34</v>
      </c>
      <c r="L24" s="14"/>
      <c r="M24" s="14">
        <v>2563239</v>
      </c>
    </row>
    <row r="25" spans="1:13" ht="16.5" customHeight="1" x14ac:dyDescent="0.4">
      <c r="A25" s="15"/>
      <c r="B25" s="15"/>
      <c r="C25" s="15"/>
      <c r="D25" s="15" t="s">
        <v>280</v>
      </c>
      <c r="E25" s="13">
        <v>23.1</v>
      </c>
      <c r="F25" s="196"/>
      <c r="G25" s="18">
        <v>8684548.2899999991</v>
      </c>
      <c r="I25" s="18">
        <v>26443567.719999999</v>
      </c>
      <c r="K25" s="14">
        <v>8684548.2899999991</v>
      </c>
      <c r="M25" s="14">
        <v>26443567.719999999</v>
      </c>
    </row>
    <row r="26" spans="1:13" ht="16.5" customHeight="1" x14ac:dyDescent="0.4">
      <c r="A26" s="15"/>
      <c r="B26" s="15"/>
      <c r="C26" s="15"/>
      <c r="D26" s="15" t="s">
        <v>269</v>
      </c>
      <c r="E26" s="13">
        <v>23.1</v>
      </c>
      <c r="F26" s="196"/>
      <c r="G26" s="21">
        <v>-34386302.649999999</v>
      </c>
      <c r="H26" s="21"/>
      <c r="I26" s="21">
        <v>-1824801.95</v>
      </c>
      <c r="J26" s="21"/>
      <c r="K26" s="18">
        <v>-32282445.359999999</v>
      </c>
      <c r="L26" s="21"/>
      <c r="M26" s="18">
        <v>3680249.66</v>
      </c>
    </row>
    <row r="27" spans="1:13" ht="16.5" customHeight="1" x14ac:dyDescent="0.4">
      <c r="A27" s="15"/>
      <c r="B27" s="15"/>
      <c r="C27" s="15"/>
      <c r="D27" s="15" t="s">
        <v>212</v>
      </c>
      <c r="E27" s="196"/>
      <c r="F27" s="196"/>
      <c r="G27" s="155">
        <v>7885807.5099999998</v>
      </c>
      <c r="H27" s="14"/>
      <c r="I27" s="155">
        <v>11495829.51</v>
      </c>
      <c r="J27" s="14"/>
      <c r="K27" s="155">
        <v>8152610.7999999998</v>
      </c>
      <c r="L27" s="14"/>
      <c r="M27" s="155">
        <v>12293432.27</v>
      </c>
    </row>
    <row r="28" spans="1:13" ht="16.5" customHeight="1" x14ac:dyDescent="0.4">
      <c r="A28" s="15"/>
      <c r="B28" s="15" t="s">
        <v>243</v>
      </c>
      <c r="C28" s="15"/>
      <c r="D28" s="15"/>
      <c r="E28" s="196"/>
      <c r="F28" s="196"/>
      <c r="G28" s="14">
        <f>+SUM(G11:G27)</f>
        <v>-49690792.909999959</v>
      </c>
      <c r="H28" s="21"/>
      <c r="I28" s="14">
        <f>+SUM(I11:I27)</f>
        <v>201114644.28</v>
      </c>
      <c r="J28" s="21"/>
      <c r="K28" s="14">
        <f>+SUM(K11:K27)</f>
        <v>36920027.800000049</v>
      </c>
      <c r="L28" s="21"/>
      <c r="M28" s="14">
        <f>+SUM(M11:M27)</f>
        <v>186642720.74000001</v>
      </c>
    </row>
    <row r="29" spans="1:13" ht="16.5" customHeight="1" x14ac:dyDescent="0.4">
      <c r="A29" s="15"/>
      <c r="B29" s="24" t="s">
        <v>183</v>
      </c>
      <c r="C29" s="15"/>
      <c r="D29" s="15"/>
      <c r="E29" s="196"/>
      <c r="F29" s="196"/>
      <c r="G29" s="14"/>
      <c r="H29" s="21"/>
      <c r="I29" s="14"/>
      <c r="J29" s="21"/>
      <c r="K29" s="14"/>
      <c r="L29" s="21"/>
      <c r="M29" s="14"/>
    </row>
    <row r="30" spans="1:13" ht="16.5" customHeight="1" x14ac:dyDescent="0.4">
      <c r="A30" s="15"/>
      <c r="B30" s="15"/>
      <c r="C30" s="190" t="s">
        <v>319</v>
      </c>
      <c r="D30" s="15"/>
      <c r="E30" s="192">
        <v>8.3000000000000007</v>
      </c>
      <c r="F30" s="196"/>
      <c r="G30" s="14">
        <v>-23013691.969999999</v>
      </c>
      <c r="H30" s="14"/>
      <c r="I30" s="14">
        <v>376198645.24000001</v>
      </c>
      <c r="J30" s="14"/>
      <c r="K30" s="14">
        <v>-84568636.319999993</v>
      </c>
      <c r="L30" s="14"/>
      <c r="M30" s="14">
        <v>-23412138.870000001</v>
      </c>
    </row>
    <row r="31" spans="1:13" ht="16.5" customHeight="1" x14ac:dyDescent="0.4">
      <c r="A31" s="15"/>
      <c r="B31" s="15"/>
      <c r="C31" s="15" t="s">
        <v>235</v>
      </c>
      <c r="D31" s="15"/>
      <c r="E31" s="196">
        <v>4</v>
      </c>
      <c r="F31" s="196"/>
      <c r="G31" s="14">
        <v>9086556.3399999999</v>
      </c>
      <c r="H31" s="14"/>
      <c r="I31" s="14">
        <v>63217190.200000003</v>
      </c>
      <c r="J31" s="14"/>
      <c r="K31" s="14">
        <v>-25851455.199999999</v>
      </c>
      <c r="L31" s="14"/>
      <c r="M31" s="14">
        <v>38168292.859999999</v>
      </c>
    </row>
    <row r="32" spans="1:13" ht="16.5" customHeight="1" x14ac:dyDescent="0.4">
      <c r="A32" s="15"/>
      <c r="B32" s="15"/>
      <c r="C32" s="15" t="s">
        <v>234</v>
      </c>
      <c r="D32" s="15"/>
      <c r="E32" s="192">
        <v>2.2000000000000002</v>
      </c>
      <c r="F32" s="196"/>
      <c r="G32" s="14">
        <v>46824.480000000003</v>
      </c>
      <c r="H32" s="14"/>
      <c r="I32" s="14">
        <v>-46824.480000000003</v>
      </c>
      <c r="J32" s="14"/>
      <c r="K32" s="14">
        <v>46824.480000000003</v>
      </c>
      <c r="L32" s="14"/>
      <c r="M32" s="14">
        <v>5828175.5199999996</v>
      </c>
    </row>
    <row r="33" spans="1:13" ht="16.5" customHeight="1" x14ac:dyDescent="0.4">
      <c r="A33" s="15"/>
      <c r="B33" s="15"/>
      <c r="C33" s="15" t="s">
        <v>252</v>
      </c>
      <c r="D33" s="15"/>
      <c r="E33" s="196">
        <v>5</v>
      </c>
      <c r="F33" s="196"/>
      <c r="G33" s="14">
        <v>48016217.770000003</v>
      </c>
      <c r="H33" s="14"/>
      <c r="I33" s="14">
        <v>-14678710.060000001</v>
      </c>
      <c r="J33" s="14"/>
      <c r="K33" s="14">
        <v>23518626.420000002</v>
      </c>
      <c r="L33" s="14"/>
      <c r="M33" s="14">
        <v>-26357024.829999998</v>
      </c>
    </row>
    <row r="34" spans="1:13" ht="16.5" customHeight="1" x14ac:dyDescent="0.4">
      <c r="A34" s="15"/>
      <c r="B34" s="15"/>
      <c r="C34" s="15" t="s">
        <v>251</v>
      </c>
      <c r="D34" s="15"/>
      <c r="E34" s="192">
        <v>2.2999999999999998</v>
      </c>
      <c r="F34" s="196"/>
      <c r="G34" s="14">
        <v>0</v>
      </c>
      <c r="H34" s="14"/>
      <c r="I34" s="14">
        <v>0</v>
      </c>
      <c r="J34" s="14"/>
      <c r="K34" s="14">
        <v>1632371.71</v>
      </c>
      <c r="L34" s="14"/>
      <c r="M34" s="14">
        <v>-1632371.71</v>
      </c>
    </row>
    <row r="35" spans="1:13" ht="16.5" customHeight="1" x14ac:dyDescent="0.4">
      <c r="A35" s="15"/>
      <c r="B35" s="15"/>
      <c r="C35" s="9" t="s">
        <v>373</v>
      </c>
      <c r="D35" s="15"/>
      <c r="E35" s="196">
        <v>6</v>
      </c>
      <c r="F35" s="196"/>
      <c r="G35" s="14">
        <v>-25456774</v>
      </c>
      <c r="H35" s="14"/>
      <c r="I35" s="14">
        <v>-17020678.719999999</v>
      </c>
      <c r="J35" s="14"/>
      <c r="K35" s="14">
        <v>0</v>
      </c>
      <c r="L35" s="14"/>
      <c r="M35" s="14">
        <v>0</v>
      </c>
    </row>
    <row r="36" spans="1:13" ht="16.5" customHeight="1" x14ac:dyDescent="0.4">
      <c r="A36" s="15"/>
      <c r="B36" s="15"/>
      <c r="C36" s="15" t="s">
        <v>186</v>
      </c>
      <c r="D36" s="15"/>
      <c r="E36" s="196"/>
      <c r="F36" s="196"/>
      <c r="G36" s="14">
        <v>-13075920.15</v>
      </c>
      <c r="H36" s="14"/>
      <c r="I36" s="14">
        <v>17494742.449999999</v>
      </c>
      <c r="J36" s="14"/>
      <c r="K36" s="14">
        <v>-15241416.25</v>
      </c>
      <c r="L36" s="14"/>
      <c r="M36" s="14">
        <v>17214509.620000001</v>
      </c>
    </row>
    <row r="37" spans="1:13" ht="16.5" customHeight="1" x14ac:dyDescent="0.4">
      <c r="A37" s="15"/>
      <c r="B37" s="15"/>
      <c r="C37" s="15" t="s">
        <v>140</v>
      </c>
      <c r="D37" s="15"/>
      <c r="E37" s="196"/>
      <c r="F37" s="196"/>
      <c r="G37" s="14">
        <v>0</v>
      </c>
      <c r="H37" s="14"/>
      <c r="I37" s="14">
        <v>651031.76</v>
      </c>
      <c r="J37" s="14"/>
      <c r="K37" s="14">
        <v>0</v>
      </c>
      <c r="L37" s="14"/>
      <c r="M37" s="14">
        <v>-1200</v>
      </c>
    </row>
    <row r="38" spans="1:13" ht="16.5" customHeight="1" x14ac:dyDescent="0.4">
      <c r="A38" s="15"/>
      <c r="B38" s="15" t="s">
        <v>187</v>
      </c>
      <c r="C38" s="15"/>
      <c r="D38" s="15"/>
      <c r="E38" s="196"/>
      <c r="F38" s="196"/>
      <c r="G38" s="14"/>
      <c r="H38" s="14"/>
      <c r="I38" s="14"/>
      <c r="J38" s="14"/>
      <c r="K38" s="14"/>
      <c r="L38" s="14"/>
      <c r="M38" s="14"/>
    </row>
    <row r="39" spans="1:13" ht="16.5" customHeight="1" x14ac:dyDescent="0.4">
      <c r="A39" s="15"/>
      <c r="B39" s="15"/>
      <c r="C39" s="15" t="s">
        <v>236</v>
      </c>
      <c r="D39" s="15"/>
      <c r="E39" s="196"/>
      <c r="F39" s="196"/>
      <c r="G39" s="14">
        <v>0</v>
      </c>
      <c r="H39" s="14"/>
      <c r="I39" s="14">
        <v>-534699.31000000006</v>
      </c>
      <c r="J39" s="14"/>
      <c r="K39" s="14">
        <v>0</v>
      </c>
      <c r="L39" s="14"/>
      <c r="M39" s="14">
        <v>0</v>
      </c>
    </row>
    <row r="40" spans="1:13" ht="16.5" customHeight="1" x14ac:dyDescent="0.4">
      <c r="A40" s="15"/>
      <c r="B40" s="15"/>
      <c r="C40" s="15" t="s">
        <v>348</v>
      </c>
      <c r="D40" s="15"/>
      <c r="E40" s="192">
        <v>2.5</v>
      </c>
      <c r="F40" s="196"/>
      <c r="G40" s="14">
        <v>0</v>
      </c>
      <c r="H40" s="14"/>
      <c r="I40" s="14">
        <v>0</v>
      </c>
      <c r="J40" s="14"/>
      <c r="K40" s="14">
        <v>-78725230.049999997</v>
      </c>
      <c r="L40" s="14"/>
      <c r="M40" s="14">
        <v>78725230.049999997</v>
      </c>
    </row>
    <row r="41" spans="1:13" ht="16.5" customHeight="1" x14ac:dyDescent="0.4">
      <c r="A41" s="15"/>
      <c r="B41" s="15"/>
      <c r="C41" s="15" t="s">
        <v>254</v>
      </c>
      <c r="D41" s="15"/>
      <c r="E41" s="196">
        <v>19</v>
      </c>
      <c r="F41" s="196"/>
      <c r="G41" s="14">
        <v>-16230862.810000001</v>
      </c>
      <c r="H41" s="14"/>
      <c r="I41" s="14">
        <v>30388172.870000001</v>
      </c>
      <c r="J41" s="14"/>
      <c r="K41" s="14">
        <v>-17182811.77</v>
      </c>
      <c r="L41" s="14"/>
      <c r="M41" s="14">
        <v>43467235.109999999</v>
      </c>
    </row>
    <row r="42" spans="1:13" ht="16.5" customHeight="1" x14ac:dyDescent="0.4">
      <c r="A42" s="15"/>
      <c r="B42" s="15"/>
      <c r="C42" s="15" t="s">
        <v>334</v>
      </c>
      <c r="D42" s="15"/>
      <c r="E42" s="196"/>
      <c r="F42" s="196"/>
      <c r="G42" s="14">
        <v>0</v>
      </c>
      <c r="H42" s="14"/>
      <c r="I42" s="14">
        <v>0</v>
      </c>
      <c r="J42" s="14"/>
      <c r="K42" s="14">
        <v>1203996.25</v>
      </c>
      <c r="L42" s="14"/>
      <c r="M42" s="14">
        <v>-6591361.0499999998</v>
      </c>
    </row>
    <row r="43" spans="1:13" ht="16.5" customHeight="1" x14ac:dyDescent="0.4">
      <c r="A43" s="15"/>
      <c r="B43" s="15"/>
      <c r="C43" s="15" t="s">
        <v>148</v>
      </c>
      <c r="D43" s="15"/>
      <c r="E43" s="196"/>
      <c r="F43" s="196"/>
      <c r="G43" s="14">
        <v>7197028.1200000001</v>
      </c>
      <c r="H43" s="14"/>
      <c r="I43" s="14">
        <v>-15395453.710000001</v>
      </c>
      <c r="J43" s="14"/>
      <c r="K43" s="14">
        <v>8440029.0299999993</v>
      </c>
      <c r="L43" s="14"/>
      <c r="M43" s="14">
        <v>-16459969.77</v>
      </c>
    </row>
    <row r="44" spans="1:13" ht="16.5" customHeight="1" x14ac:dyDescent="0.4">
      <c r="A44" s="15"/>
      <c r="B44" s="15"/>
      <c r="C44" s="15" t="s">
        <v>299</v>
      </c>
      <c r="D44" s="15"/>
      <c r="E44" s="196"/>
      <c r="F44" s="196"/>
      <c r="G44" s="14">
        <v>1267729.24</v>
      </c>
      <c r="H44" s="14"/>
      <c r="I44" s="14">
        <v>2745250</v>
      </c>
      <c r="J44" s="14"/>
      <c r="K44" s="14">
        <v>2371734.2400000002</v>
      </c>
      <c r="L44" s="14"/>
      <c r="M44" s="14">
        <v>3568633</v>
      </c>
    </row>
    <row r="45" spans="1:13" ht="16.5" customHeight="1" x14ac:dyDescent="0.4">
      <c r="A45" s="15"/>
      <c r="B45" s="15"/>
      <c r="C45" s="15"/>
      <c r="D45" s="15" t="s">
        <v>255</v>
      </c>
      <c r="E45" s="196"/>
      <c r="F45" s="196"/>
      <c r="G45" s="156">
        <f>SUM(G28:G44)</f>
        <v>-61853685.889999956</v>
      </c>
      <c r="H45" s="21"/>
      <c r="I45" s="156">
        <f>SUM(I28:I44)</f>
        <v>644133310.5200001</v>
      </c>
      <c r="J45" s="21"/>
      <c r="K45" s="156">
        <f>SUM(K28:K44)</f>
        <v>-147435939.65999994</v>
      </c>
      <c r="L45" s="21"/>
      <c r="M45" s="156">
        <f>SUM(M28:M44)</f>
        <v>299160730.67000002</v>
      </c>
    </row>
    <row r="46" spans="1:13" ht="16.5" customHeight="1" x14ac:dyDescent="0.4">
      <c r="A46" s="15"/>
      <c r="B46" s="15"/>
      <c r="C46" s="15"/>
      <c r="D46" s="15" t="s">
        <v>237</v>
      </c>
      <c r="E46" s="196"/>
      <c r="F46" s="196"/>
      <c r="G46" s="21">
        <v>-7885807.5099999998</v>
      </c>
      <c r="H46" s="21"/>
      <c r="I46" s="21">
        <v>-11495829.51</v>
      </c>
      <c r="J46" s="21"/>
      <c r="K46" s="21">
        <v>-8152610.7999999998</v>
      </c>
      <c r="L46" s="21"/>
      <c r="M46" s="21">
        <v>-12293432.27</v>
      </c>
    </row>
    <row r="47" spans="1:13" ht="16.5" customHeight="1" x14ac:dyDescent="0.4">
      <c r="A47" s="15"/>
      <c r="B47" s="15"/>
      <c r="C47" s="15"/>
      <c r="D47" s="15" t="s">
        <v>203</v>
      </c>
      <c r="E47" s="196"/>
      <c r="F47" s="196"/>
      <c r="G47" s="21">
        <v>-33190085.41</v>
      </c>
      <c r="H47" s="21"/>
      <c r="I47" s="21">
        <v>-14949469.359999999</v>
      </c>
      <c r="J47" s="21"/>
      <c r="K47" s="21">
        <v>-32659531.52</v>
      </c>
      <c r="L47" s="21"/>
      <c r="M47" s="21">
        <v>-14887349.58</v>
      </c>
    </row>
    <row r="48" spans="1:13" ht="16.5" hidden="1" customHeight="1" x14ac:dyDescent="0.4">
      <c r="A48" s="15"/>
      <c r="B48" s="15"/>
      <c r="C48" s="15"/>
      <c r="D48" s="15" t="s">
        <v>366</v>
      </c>
      <c r="E48" s="196"/>
      <c r="F48" s="196"/>
      <c r="G48" s="21">
        <v>0</v>
      </c>
      <c r="H48" s="21"/>
      <c r="I48" s="21">
        <v>0</v>
      </c>
      <c r="J48" s="21"/>
      <c r="K48" s="21">
        <v>0</v>
      </c>
      <c r="L48" s="21"/>
      <c r="M48" s="21">
        <v>0</v>
      </c>
    </row>
    <row r="49" spans="1:13" ht="16.5" customHeight="1" x14ac:dyDescent="0.4">
      <c r="A49" s="15"/>
      <c r="B49" s="15"/>
      <c r="C49" s="15"/>
      <c r="D49" s="15" t="s">
        <v>199</v>
      </c>
      <c r="E49" s="196"/>
      <c r="F49" s="196"/>
      <c r="G49" s="157">
        <f>SUM(G45:G48)</f>
        <v>-102929578.80999996</v>
      </c>
      <c r="H49" s="21"/>
      <c r="I49" s="157">
        <f>SUM(I45:I48)</f>
        <v>617688011.6500001</v>
      </c>
      <c r="J49" s="21"/>
      <c r="K49" s="157">
        <f>SUM(K45:K48)</f>
        <v>-188248081.97999996</v>
      </c>
      <c r="L49" s="21"/>
      <c r="M49" s="157">
        <f>SUM(M45:M48)</f>
        <v>271979948.82000005</v>
      </c>
    </row>
    <row r="50" spans="1:13" ht="16.5" customHeight="1" x14ac:dyDescent="0.4">
      <c r="A50" s="15"/>
      <c r="B50" s="15"/>
      <c r="C50" s="15"/>
      <c r="D50" s="15"/>
      <c r="E50" s="196"/>
      <c r="F50" s="196"/>
      <c r="G50" s="127"/>
      <c r="H50" s="127"/>
      <c r="I50" s="127"/>
      <c r="J50" s="127"/>
      <c r="K50" s="127"/>
      <c r="L50" s="127"/>
      <c r="M50" s="127"/>
    </row>
    <row r="51" spans="1:13" ht="16.5" customHeight="1" x14ac:dyDescent="0.4">
      <c r="A51" s="15" t="s">
        <v>271</v>
      </c>
      <c r="B51" s="15"/>
      <c r="C51" s="15"/>
      <c r="D51" s="15"/>
      <c r="E51" s="196"/>
      <c r="F51" s="196"/>
      <c r="G51" s="127"/>
      <c r="H51" s="127"/>
      <c r="I51" s="127"/>
      <c r="J51" s="127"/>
      <c r="K51" s="127"/>
      <c r="L51" s="127"/>
      <c r="M51" s="127"/>
    </row>
    <row r="52" spans="1:13" ht="16.5" customHeight="1" x14ac:dyDescent="0.4">
      <c r="A52" s="15"/>
      <c r="B52" s="15"/>
      <c r="C52" s="15"/>
      <c r="D52" s="15"/>
      <c r="E52" s="196"/>
      <c r="F52" s="196"/>
      <c r="G52" s="127"/>
      <c r="H52" s="127"/>
      <c r="I52" s="127"/>
      <c r="J52" s="127"/>
      <c r="K52" s="127"/>
      <c r="L52" s="127"/>
      <c r="M52" s="127"/>
    </row>
    <row r="53" spans="1:13" ht="16.5" customHeight="1" x14ac:dyDescent="0.45">
      <c r="A53" s="132"/>
      <c r="G53" s="212"/>
      <c r="H53" s="212"/>
      <c r="I53" s="212"/>
      <c r="J53" s="212"/>
      <c r="L53" s="212"/>
      <c r="M53" s="212"/>
    </row>
    <row r="54" spans="1:13" ht="16.5" customHeight="1" x14ac:dyDescent="0.45">
      <c r="A54" s="132"/>
      <c r="G54" s="212"/>
      <c r="H54" s="212"/>
      <c r="I54" s="212"/>
      <c r="J54" s="212"/>
      <c r="L54" s="212"/>
      <c r="M54" s="212"/>
    </row>
    <row r="55" spans="1:13" ht="16.5" customHeight="1" x14ac:dyDescent="0.4">
      <c r="A55" s="13"/>
      <c r="B55" s="24" t="s">
        <v>145</v>
      </c>
      <c r="C55" s="13"/>
      <c r="D55" s="24"/>
      <c r="H55" s="24" t="s">
        <v>145</v>
      </c>
      <c r="I55" s="216"/>
      <c r="J55" s="216"/>
      <c r="K55" s="216"/>
      <c r="L55" s="216"/>
      <c r="M55" s="216"/>
    </row>
    <row r="56" spans="1:13" ht="16.5" customHeight="1" x14ac:dyDescent="0.45">
      <c r="A56" s="236"/>
      <c r="B56" s="236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</row>
    <row r="57" spans="1:13" ht="16.5" customHeight="1" x14ac:dyDescent="0.4">
      <c r="A57" s="18" t="s">
        <v>184</v>
      </c>
      <c r="B57" s="15"/>
      <c r="C57" s="15"/>
      <c r="D57" s="15"/>
      <c r="E57" s="196"/>
      <c r="F57" s="196"/>
      <c r="G57" s="14"/>
      <c r="H57" s="21"/>
      <c r="I57" s="14"/>
      <c r="J57" s="21"/>
      <c r="K57" s="14"/>
      <c r="L57" s="21"/>
      <c r="M57" s="14"/>
    </row>
    <row r="58" spans="1:13" ht="16.5" customHeight="1" x14ac:dyDescent="0.4">
      <c r="A58" s="198"/>
      <c r="C58" s="15" t="s">
        <v>335</v>
      </c>
      <c r="D58" s="15"/>
      <c r="E58" s="196">
        <v>9</v>
      </c>
      <c r="F58" s="196"/>
      <c r="G58" s="14">
        <v>0</v>
      </c>
      <c r="H58" s="14"/>
      <c r="I58" s="14">
        <v>0</v>
      </c>
      <c r="J58" s="14"/>
      <c r="K58" s="14">
        <v>0</v>
      </c>
      <c r="L58" s="14"/>
      <c r="M58" s="14">
        <v>-40000000</v>
      </c>
    </row>
    <row r="59" spans="1:13" ht="16.5" customHeight="1" x14ac:dyDescent="0.4">
      <c r="A59" s="198"/>
      <c r="C59" s="15" t="s">
        <v>386</v>
      </c>
      <c r="D59" s="15"/>
      <c r="E59" s="196">
        <v>10</v>
      </c>
      <c r="F59" s="196"/>
      <c r="G59" s="14">
        <v>-120500000</v>
      </c>
      <c r="H59" s="14"/>
      <c r="I59" s="14">
        <v>-81120000</v>
      </c>
      <c r="J59" s="14"/>
      <c r="K59" s="14">
        <v>-120500000</v>
      </c>
      <c r="L59" s="14"/>
      <c r="M59" s="14">
        <v>-81120000</v>
      </c>
    </row>
    <row r="60" spans="1:13" ht="16.5" customHeight="1" x14ac:dyDescent="0.4">
      <c r="A60" s="198"/>
      <c r="C60" s="15" t="s">
        <v>328</v>
      </c>
      <c r="D60" s="15"/>
      <c r="E60" s="196">
        <v>11</v>
      </c>
      <c r="F60" s="196"/>
      <c r="G60" s="14">
        <v>3.91</v>
      </c>
      <c r="H60" s="14"/>
      <c r="I60" s="14">
        <v>-79999994.340000004</v>
      </c>
      <c r="J60" s="14"/>
      <c r="K60" s="14">
        <v>0</v>
      </c>
      <c r="L60" s="14"/>
      <c r="M60" s="14">
        <v>-80000000</v>
      </c>
    </row>
    <row r="61" spans="1:13" s="15" customFormat="1" ht="16.5" customHeight="1" x14ac:dyDescent="0.4">
      <c r="C61" s="18" t="s">
        <v>329</v>
      </c>
      <c r="E61" s="217" t="s">
        <v>349</v>
      </c>
      <c r="F61" s="196"/>
      <c r="G61" s="14">
        <v>-586784.30000000005</v>
      </c>
      <c r="H61" s="14"/>
      <c r="I61" s="14">
        <v>-2073478.77</v>
      </c>
      <c r="J61" s="14"/>
      <c r="K61" s="14">
        <v>-586784.30000000005</v>
      </c>
      <c r="L61" s="14"/>
      <c r="M61" s="14">
        <v>-2073478.77</v>
      </c>
    </row>
    <row r="62" spans="1:13" s="15" customFormat="1" ht="16.5" customHeight="1" x14ac:dyDescent="0.4">
      <c r="C62" s="18" t="s">
        <v>380</v>
      </c>
      <c r="E62" s="217" t="s">
        <v>350</v>
      </c>
      <c r="F62" s="196"/>
      <c r="G62" s="14">
        <v>-214775309.44999999</v>
      </c>
      <c r="H62" s="14"/>
      <c r="I62" s="14">
        <v>0</v>
      </c>
      <c r="J62" s="14"/>
      <c r="K62" s="14">
        <v>0</v>
      </c>
      <c r="L62" s="14"/>
      <c r="M62" s="14">
        <v>0</v>
      </c>
    </row>
    <row r="63" spans="1:13" s="15" customFormat="1" ht="16.5" customHeight="1" x14ac:dyDescent="0.4">
      <c r="C63" s="18" t="s">
        <v>374</v>
      </c>
      <c r="E63" s="217" t="s">
        <v>349</v>
      </c>
      <c r="F63" s="196"/>
      <c r="G63" s="14">
        <v>11400000</v>
      </c>
      <c r="H63" s="14"/>
      <c r="I63" s="14">
        <v>0</v>
      </c>
      <c r="J63" s="14"/>
      <c r="K63" s="14">
        <v>0</v>
      </c>
      <c r="L63" s="14"/>
      <c r="M63" s="14">
        <v>0</v>
      </c>
    </row>
    <row r="64" spans="1:13" s="15" customFormat="1" ht="16.5" customHeight="1" x14ac:dyDescent="0.4">
      <c r="C64" s="9" t="s">
        <v>260</v>
      </c>
      <c r="E64" s="217" t="s">
        <v>341</v>
      </c>
      <c r="F64" s="196"/>
      <c r="G64" s="14">
        <v>-77000000</v>
      </c>
      <c r="H64" s="14"/>
      <c r="I64" s="14">
        <v>-252000000</v>
      </c>
      <c r="J64" s="14"/>
      <c r="K64" s="14">
        <v>-77000000</v>
      </c>
      <c r="L64" s="14"/>
      <c r="M64" s="14">
        <v>-252000000</v>
      </c>
    </row>
    <row r="65" spans="1:15" s="15" customFormat="1" ht="16.5" customHeight="1" x14ac:dyDescent="0.4">
      <c r="C65" s="9" t="s">
        <v>261</v>
      </c>
      <c r="E65" s="217" t="s">
        <v>367</v>
      </c>
      <c r="F65" s="196"/>
      <c r="G65" s="14">
        <v>0</v>
      </c>
      <c r="H65" s="14"/>
      <c r="I65" s="14">
        <v>0</v>
      </c>
      <c r="J65" s="14"/>
      <c r="K65" s="14">
        <v>-95560502.680000007</v>
      </c>
      <c r="L65" s="14"/>
      <c r="M65" s="14">
        <v>397845208.22000003</v>
      </c>
    </row>
    <row r="66" spans="1:15" ht="16.5" customHeight="1" x14ac:dyDescent="0.4">
      <c r="A66" s="15"/>
      <c r="C66" s="18" t="s">
        <v>314</v>
      </c>
      <c r="D66" s="15"/>
      <c r="F66" s="196"/>
      <c r="G66" s="14">
        <v>4000000</v>
      </c>
      <c r="H66" s="14"/>
      <c r="I66" s="14">
        <v>5000000</v>
      </c>
      <c r="J66" s="14"/>
      <c r="K66" s="14">
        <v>4000000</v>
      </c>
      <c r="L66" s="14"/>
      <c r="M66" s="14">
        <v>5000000</v>
      </c>
    </row>
    <row r="67" spans="1:15" ht="16.5" customHeight="1" x14ac:dyDescent="0.4">
      <c r="A67" s="15"/>
      <c r="B67" s="15"/>
      <c r="C67" s="15"/>
      <c r="D67" s="18" t="s">
        <v>286</v>
      </c>
      <c r="E67" s="196"/>
      <c r="F67" s="196"/>
      <c r="G67" s="157">
        <f>SUM(G58:G66)</f>
        <v>-397462089.83999997</v>
      </c>
      <c r="H67" s="21"/>
      <c r="I67" s="157">
        <f>SUM(I58:I66)</f>
        <v>-410193473.11000001</v>
      </c>
      <c r="J67" s="21"/>
      <c r="K67" s="157">
        <f>SUM(K58:K66)</f>
        <v>-289647286.98000002</v>
      </c>
      <c r="L67" s="21"/>
      <c r="M67" s="157">
        <f>SUM(M58:M66)</f>
        <v>-52348270.549999952</v>
      </c>
    </row>
    <row r="68" spans="1:15" ht="16.5" customHeight="1" x14ac:dyDescent="0.4">
      <c r="A68" s="18" t="s">
        <v>194</v>
      </c>
      <c r="B68" s="15"/>
      <c r="C68" s="15"/>
      <c r="D68" s="15"/>
      <c r="E68" s="213"/>
      <c r="F68" s="196"/>
      <c r="G68" s="154"/>
      <c r="H68" s="154"/>
      <c r="I68" s="154"/>
      <c r="J68" s="154"/>
      <c r="K68" s="154"/>
      <c r="L68" s="154"/>
      <c r="M68" s="154"/>
    </row>
    <row r="69" spans="1:15" ht="16.5" customHeight="1" x14ac:dyDescent="0.4">
      <c r="A69" s="218"/>
      <c r="B69" s="15"/>
      <c r="C69" s="15" t="s">
        <v>351</v>
      </c>
      <c r="D69" s="15"/>
      <c r="E69" s="6">
        <v>18</v>
      </c>
      <c r="F69" s="196"/>
      <c r="G69" s="154">
        <v>-280000000</v>
      </c>
      <c r="H69" s="154"/>
      <c r="I69" s="154">
        <v>140000000</v>
      </c>
      <c r="J69" s="154"/>
      <c r="K69" s="154">
        <v>-280000000</v>
      </c>
      <c r="L69" s="154"/>
      <c r="M69" s="154">
        <v>140000000</v>
      </c>
    </row>
    <row r="70" spans="1:15" ht="16.5" customHeight="1" x14ac:dyDescent="0.4">
      <c r="A70" s="218"/>
      <c r="B70" s="15"/>
      <c r="C70" s="15" t="s">
        <v>352</v>
      </c>
      <c r="D70" s="15"/>
      <c r="E70" s="6">
        <v>2.7</v>
      </c>
      <c r="F70" s="196"/>
      <c r="G70" s="154">
        <v>0</v>
      </c>
      <c r="H70" s="154"/>
      <c r="I70" s="154">
        <v>0</v>
      </c>
      <c r="J70" s="154"/>
      <c r="K70" s="154">
        <v>-9000000</v>
      </c>
      <c r="L70" s="154"/>
      <c r="M70" s="154">
        <v>-10000000</v>
      </c>
    </row>
    <row r="71" spans="1:15" ht="16.5" customHeight="1" x14ac:dyDescent="0.4">
      <c r="A71" s="218"/>
      <c r="B71" s="15"/>
      <c r="C71" s="9" t="s">
        <v>354</v>
      </c>
      <c r="D71" s="15"/>
      <c r="E71" s="196">
        <v>20</v>
      </c>
      <c r="F71" s="196"/>
      <c r="G71" s="21">
        <v>-819384</v>
      </c>
      <c r="H71" s="14"/>
      <c r="I71" s="21">
        <v>-819384</v>
      </c>
      <c r="J71" s="14"/>
      <c r="K71" s="21">
        <v>-819384</v>
      </c>
      <c r="L71" s="14"/>
      <c r="M71" s="21">
        <v>-819384</v>
      </c>
    </row>
    <row r="72" spans="1:15" ht="16.5" customHeight="1" x14ac:dyDescent="0.4">
      <c r="A72" s="218"/>
      <c r="B72" s="15"/>
      <c r="C72" s="9" t="s">
        <v>290</v>
      </c>
      <c r="D72" s="15"/>
      <c r="E72" s="6">
        <v>25</v>
      </c>
      <c r="F72" s="196"/>
      <c r="G72" s="154">
        <v>842341954.66999996</v>
      </c>
      <c r="H72" s="154"/>
      <c r="I72" s="154">
        <v>0</v>
      </c>
      <c r="J72" s="154"/>
      <c r="K72" s="154">
        <v>842341954.66999996</v>
      </c>
      <c r="L72" s="154"/>
      <c r="M72" s="154">
        <v>0</v>
      </c>
    </row>
    <row r="73" spans="1:15" ht="16.5" customHeight="1" x14ac:dyDescent="0.4">
      <c r="A73" s="15"/>
      <c r="B73" s="15"/>
      <c r="C73" s="9" t="s">
        <v>272</v>
      </c>
      <c r="E73" s="13">
        <v>24</v>
      </c>
      <c r="F73" s="196"/>
      <c r="G73" s="155">
        <v>-247731674.69</v>
      </c>
      <c r="H73" s="21"/>
      <c r="I73" s="155">
        <v>-116437235.14</v>
      </c>
      <c r="J73" s="21"/>
      <c r="K73" s="155">
        <v>-247731674.69</v>
      </c>
      <c r="L73" s="21"/>
      <c r="M73" s="155">
        <v>-116437235.14</v>
      </c>
    </row>
    <row r="74" spans="1:15" ht="16.5" customHeight="1" x14ac:dyDescent="0.4">
      <c r="A74" s="15"/>
      <c r="B74" s="15"/>
      <c r="C74" s="15"/>
      <c r="D74" s="18" t="s">
        <v>198</v>
      </c>
      <c r="E74" s="196"/>
      <c r="F74" s="196"/>
      <c r="G74" s="155">
        <f>SUM(G69:G73)</f>
        <v>313790895.97999996</v>
      </c>
      <c r="H74" s="21"/>
      <c r="I74" s="155">
        <f>SUM(I69:I73)</f>
        <v>22743380.859999999</v>
      </c>
      <c r="J74" s="21"/>
      <c r="K74" s="155">
        <f>SUM(K69:K73)</f>
        <v>304790895.97999996</v>
      </c>
      <c r="L74" s="21"/>
      <c r="M74" s="155">
        <f>SUM(M69:M73)</f>
        <v>12743380.859999999</v>
      </c>
    </row>
    <row r="75" spans="1:15" ht="16.5" customHeight="1" x14ac:dyDescent="0.4">
      <c r="A75" s="15" t="s">
        <v>173</v>
      </c>
      <c r="B75" s="15"/>
      <c r="C75" s="15"/>
      <c r="D75" s="15"/>
      <c r="E75" s="196"/>
      <c r="F75" s="196"/>
      <c r="G75" s="155">
        <v>-1390317.88</v>
      </c>
      <c r="H75" s="21"/>
      <c r="I75" s="155">
        <v>-9983577.5999999996</v>
      </c>
      <c r="J75" s="21"/>
      <c r="K75" s="155">
        <v>0</v>
      </c>
      <c r="L75" s="21"/>
      <c r="M75" s="155">
        <v>0</v>
      </c>
    </row>
    <row r="76" spans="1:15" ht="16.5" customHeight="1" x14ac:dyDescent="0.4">
      <c r="A76" s="18" t="s">
        <v>185</v>
      </c>
      <c r="B76" s="15"/>
      <c r="C76" s="15"/>
      <c r="D76" s="15"/>
      <c r="E76" s="196"/>
      <c r="F76" s="196"/>
      <c r="G76" s="158">
        <f>+G74+G67+G49+G75</f>
        <v>-187991090.54999995</v>
      </c>
      <c r="H76" s="14"/>
      <c r="I76" s="158">
        <f>+I74+I67+I49+I75</f>
        <v>220254341.8000001</v>
      </c>
      <c r="J76" s="14"/>
      <c r="K76" s="158">
        <f>+K74+K67+K49+K75</f>
        <v>-173104472.98000002</v>
      </c>
      <c r="L76" s="14"/>
      <c r="M76" s="158">
        <f>+M74+M67+M49+M75</f>
        <v>232375059.13000011</v>
      </c>
    </row>
    <row r="77" spans="1:15" ht="16.5" customHeight="1" x14ac:dyDescent="0.4">
      <c r="A77" s="18" t="s">
        <v>287</v>
      </c>
      <c r="B77" s="15"/>
      <c r="C77" s="15"/>
      <c r="D77" s="15"/>
      <c r="E77" s="196"/>
      <c r="F77" s="196"/>
      <c r="G77" s="158">
        <v>414056925.31999999</v>
      </c>
      <c r="H77" s="14"/>
      <c r="I77" s="158">
        <v>193802583.52000001</v>
      </c>
      <c r="J77" s="14"/>
      <c r="K77" s="14">
        <v>290505114.75999999</v>
      </c>
      <c r="L77" s="14"/>
      <c r="M77" s="14">
        <v>58130055.630000003</v>
      </c>
      <c r="O77" s="11"/>
    </row>
    <row r="78" spans="1:15" ht="16.5" customHeight="1" thickBot="1" x14ac:dyDescent="0.45">
      <c r="A78" s="18" t="s">
        <v>288</v>
      </c>
      <c r="B78" s="15"/>
      <c r="C78" s="15"/>
      <c r="D78" s="15"/>
      <c r="E78" s="196"/>
      <c r="F78" s="196"/>
      <c r="G78" s="159">
        <f>SUM(G76:G77)</f>
        <v>226065834.77000004</v>
      </c>
      <c r="H78" s="14"/>
      <c r="I78" s="159">
        <f>SUM(I76:I77)</f>
        <v>414056925.32000011</v>
      </c>
      <c r="J78" s="14"/>
      <c r="K78" s="159">
        <f>SUM(K76:K77)</f>
        <v>117400641.77999997</v>
      </c>
      <c r="L78" s="14"/>
      <c r="M78" s="159">
        <f>SUM(M76:M77)</f>
        <v>290505114.76000011</v>
      </c>
    </row>
    <row r="79" spans="1:15" ht="16.5" customHeight="1" thickTop="1" x14ac:dyDescent="0.4">
      <c r="E79" s="8"/>
      <c r="F79" s="8"/>
      <c r="G79" s="154">
        <f>'BS_Q4-67'!F11-CashFlow!G78</f>
        <v>0</v>
      </c>
      <c r="H79" s="154"/>
      <c r="I79" s="189"/>
      <c r="J79" s="154"/>
      <c r="K79" s="154">
        <f>'BS_Q4-67'!J11-CashFlow!K78</f>
        <v>0</v>
      </c>
      <c r="L79" s="154"/>
      <c r="M79" s="154"/>
    </row>
    <row r="80" spans="1:15" ht="16.5" customHeight="1" x14ac:dyDescent="0.4">
      <c r="A80" s="18" t="s">
        <v>318</v>
      </c>
      <c r="E80" s="217"/>
      <c r="F80" s="8"/>
      <c r="G80" s="126"/>
      <c r="H80" s="126"/>
      <c r="I80" s="126"/>
      <c r="J80" s="126"/>
      <c r="K80" s="126"/>
      <c r="L80" s="126"/>
      <c r="M80" s="126"/>
    </row>
    <row r="81" spans="1:13" ht="16.5" customHeight="1" x14ac:dyDescent="0.4">
      <c r="B81" s="219" t="s">
        <v>369</v>
      </c>
      <c r="E81" s="217"/>
      <c r="F81" s="8"/>
      <c r="G81" s="14">
        <v>177373612.13999999</v>
      </c>
      <c r="H81" s="14"/>
      <c r="I81" s="14">
        <f>180153224.14-17578939.79</f>
        <v>162574284.34999999</v>
      </c>
      <c r="J81" s="14"/>
      <c r="K81" s="14">
        <v>53921.96</v>
      </c>
      <c r="L81" s="14"/>
      <c r="M81" s="14">
        <v>8057.3</v>
      </c>
    </row>
    <row r="82" spans="1:13" ht="16.5" customHeight="1" x14ac:dyDescent="0.4">
      <c r="B82" s="18" t="s">
        <v>368</v>
      </c>
      <c r="E82" s="217" t="s">
        <v>382</v>
      </c>
      <c r="F82" s="8"/>
      <c r="G82" s="14">
        <v>72858747.75</v>
      </c>
      <c r="H82" s="14"/>
      <c r="I82" s="14">
        <v>-17578939.789999999</v>
      </c>
      <c r="J82" s="14"/>
      <c r="K82" s="14">
        <v>0</v>
      </c>
      <c r="L82" s="14"/>
      <c r="M82" s="14">
        <v>0</v>
      </c>
    </row>
    <row r="83" spans="1:13" ht="16.5" customHeight="1" x14ac:dyDescent="0.4">
      <c r="B83" s="219"/>
      <c r="E83" s="217"/>
      <c r="F83" s="8"/>
      <c r="G83" s="14"/>
      <c r="H83" s="14"/>
      <c r="I83" s="14"/>
      <c r="J83" s="14"/>
      <c r="K83" s="14"/>
      <c r="L83" s="14"/>
      <c r="M83" s="14"/>
    </row>
    <row r="84" spans="1:13" ht="16.5" customHeight="1" x14ac:dyDescent="0.4">
      <c r="B84" s="15"/>
      <c r="E84" s="217"/>
      <c r="F84" s="8"/>
      <c r="G84" s="14"/>
      <c r="H84" s="14"/>
      <c r="I84" s="14"/>
      <c r="J84" s="14"/>
      <c r="K84" s="14"/>
      <c r="L84" s="14"/>
      <c r="M84" s="14"/>
    </row>
    <row r="85" spans="1:13" ht="16.5" customHeight="1" x14ac:dyDescent="0.4">
      <c r="B85" s="219"/>
      <c r="E85" s="217"/>
      <c r="F85" s="8"/>
      <c r="G85" s="14"/>
      <c r="H85" s="14"/>
      <c r="I85" s="14"/>
      <c r="J85" s="14"/>
      <c r="K85" s="14"/>
      <c r="L85" s="14"/>
      <c r="M85" s="14"/>
    </row>
    <row r="86" spans="1:13" ht="16.5" customHeight="1" x14ac:dyDescent="0.4">
      <c r="B86" s="15"/>
      <c r="E86" s="217"/>
      <c r="F86" s="8"/>
      <c r="G86" s="14"/>
      <c r="H86" s="126"/>
      <c r="I86" s="14"/>
      <c r="J86" s="126"/>
      <c r="K86" s="126"/>
      <c r="L86" s="126"/>
      <c r="M86" s="126"/>
    </row>
    <row r="88" spans="1:13" ht="16.5" customHeight="1" x14ac:dyDescent="0.4">
      <c r="E88" s="217"/>
      <c r="F88" s="8"/>
      <c r="G88" s="126"/>
      <c r="H88" s="126"/>
      <c r="I88" s="126"/>
      <c r="J88" s="126"/>
      <c r="K88" s="126"/>
      <c r="L88" s="126"/>
      <c r="M88" s="126"/>
    </row>
    <row r="89" spans="1:13" ht="16.5" customHeight="1" x14ac:dyDescent="0.4">
      <c r="A89" s="15" t="s">
        <v>271</v>
      </c>
      <c r="E89" s="217"/>
      <c r="F89" s="8"/>
      <c r="G89" s="126"/>
      <c r="H89" s="126"/>
      <c r="I89" s="126"/>
      <c r="J89" s="126"/>
      <c r="K89" s="126"/>
      <c r="L89" s="126"/>
      <c r="M89" s="126"/>
    </row>
    <row r="90" spans="1:13" ht="16.5" customHeight="1" x14ac:dyDescent="0.4">
      <c r="F90" s="8"/>
      <c r="G90" s="126"/>
      <c r="H90" s="126"/>
      <c r="I90" s="126"/>
      <c r="J90" s="126"/>
      <c r="K90" s="126"/>
      <c r="L90" s="126"/>
      <c r="M90" s="126"/>
    </row>
    <row r="91" spans="1:13" ht="16.5" customHeight="1" x14ac:dyDescent="0.4">
      <c r="F91" s="8"/>
      <c r="G91" s="126"/>
      <c r="H91" s="126"/>
      <c r="I91" s="126"/>
      <c r="J91" s="126"/>
      <c r="K91" s="126"/>
      <c r="L91" s="126"/>
      <c r="M91" s="126"/>
    </row>
    <row r="92" spans="1:13" ht="16.5" customHeight="1" x14ac:dyDescent="0.4">
      <c r="F92" s="8"/>
      <c r="G92" s="126"/>
      <c r="H92" s="126"/>
      <c r="I92" s="126"/>
      <c r="J92" s="126"/>
      <c r="K92" s="126"/>
      <c r="L92" s="126"/>
      <c r="M92" s="126"/>
    </row>
    <row r="93" spans="1:13" ht="16.5" customHeight="1" x14ac:dyDescent="0.4">
      <c r="F93" s="8"/>
      <c r="G93" s="126"/>
      <c r="H93" s="126"/>
      <c r="I93" s="126"/>
      <c r="J93" s="126"/>
      <c r="K93" s="126"/>
      <c r="L93" s="126"/>
      <c r="M93" s="126"/>
    </row>
    <row r="94" spans="1:13" ht="16.5" customHeight="1" x14ac:dyDescent="0.4">
      <c r="F94" s="8"/>
      <c r="G94" s="126"/>
      <c r="H94" s="126"/>
      <c r="I94" s="126"/>
      <c r="J94" s="126"/>
      <c r="K94" s="126"/>
      <c r="L94" s="126"/>
      <c r="M94" s="126"/>
    </row>
    <row r="95" spans="1:13" ht="16.5" customHeight="1" x14ac:dyDescent="0.4">
      <c r="F95" s="8"/>
      <c r="G95" s="126"/>
      <c r="H95" s="126"/>
      <c r="I95" s="126"/>
      <c r="J95" s="126"/>
      <c r="K95" s="126"/>
      <c r="L95" s="126"/>
      <c r="M95" s="126"/>
    </row>
    <row r="96" spans="1:13" ht="16.5" customHeight="1" x14ac:dyDescent="0.4">
      <c r="F96" s="8"/>
      <c r="G96" s="126"/>
      <c r="H96" s="126"/>
      <c r="I96" s="126"/>
      <c r="J96" s="126"/>
      <c r="K96" s="126"/>
      <c r="L96" s="126"/>
      <c r="M96" s="126"/>
    </row>
    <row r="97" spans="1:16" ht="16.5" customHeight="1" x14ac:dyDescent="0.4">
      <c r="G97" s="212"/>
      <c r="H97" s="212"/>
      <c r="I97" s="212"/>
      <c r="J97" s="212"/>
      <c r="L97" s="212"/>
      <c r="M97" s="212"/>
    </row>
    <row r="98" spans="1:16" ht="16.5" customHeight="1" x14ac:dyDescent="0.45">
      <c r="A98" s="132"/>
      <c r="G98" s="212"/>
      <c r="H98" s="212"/>
      <c r="I98" s="212"/>
      <c r="J98" s="212"/>
      <c r="L98" s="212"/>
      <c r="M98" s="212"/>
    </row>
    <row r="99" spans="1:16" ht="16.5" customHeight="1" x14ac:dyDescent="0.45">
      <c r="A99" s="132"/>
      <c r="G99" s="212"/>
      <c r="H99" s="212"/>
      <c r="I99" s="212"/>
      <c r="J99" s="212"/>
      <c r="L99" s="212"/>
      <c r="M99" s="212"/>
    </row>
    <row r="100" spans="1:16" ht="16.5" customHeight="1" x14ac:dyDescent="0.4">
      <c r="A100" s="128"/>
      <c r="B100" s="24" t="s">
        <v>145</v>
      </c>
      <c r="C100" s="13"/>
      <c r="D100" s="24"/>
      <c r="G100" s="216"/>
      <c r="H100" s="24" t="s">
        <v>145</v>
      </c>
      <c r="I100" s="216"/>
      <c r="J100" s="216"/>
      <c r="K100" s="216"/>
      <c r="L100" s="216"/>
      <c r="M100" s="216"/>
    </row>
    <row r="101" spans="1:16" ht="16.5" customHeight="1" x14ac:dyDescent="0.4">
      <c r="A101" s="9"/>
      <c r="G101" s="212"/>
      <c r="H101" s="212"/>
      <c r="I101" s="212"/>
      <c r="J101" s="212"/>
      <c r="L101" s="212"/>
      <c r="M101" s="212"/>
    </row>
    <row r="102" spans="1:16" s="3" customFormat="1" ht="16.5" customHeight="1" x14ac:dyDescent="0.45">
      <c r="A102" s="237"/>
      <c r="B102" s="237"/>
      <c r="C102" s="237"/>
      <c r="D102" s="237"/>
      <c r="E102" s="237"/>
      <c r="F102" s="237"/>
      <c r="G102" s="237"/>
      <c r="H102" s="237"/>
      <c r="I102" s="237"/>
      <c r="J102" s="237"/>
      <c r="K102" s="237"/>
      <c r="L102" s="237"/>
      <c r="M102" s="237"/>
      <c r="P102" s="7"/>
    </row>
    <row r="103" spans="1:16" ht="16.5" hidden="1" customHeight="1" x14ac:dyDescent="0.4">
      <c r="E103" s="8"/>
      <c r="F103" s="8"/>
      <c r="G103" s="212"/>
      <c r="H103" s="212"/>
      <c r="I103" s="212"/>
      <c r="J103" s="212"/>
      <c r="L103" s="212"/>
      <c r="M103" s="212"/>
    </row>
    <row r="104" spans="1:16" ht="16.5" customHeight="1" x14ac:dyDescent="0.4">
      <c r="D104" s="10" t="s">
        <v>216</v>
      </c>
      <c r="E104" s="8"/>
      <c r="F104" s="8"/>
      <c r="G104" s="126">
        <v>226065834.77000001</v>
      </c>
      <c r="H104" s="127"/>
      <c r="I104" s="126">
        <f>+'BS_Q4-67'!H11</f>
        <v>414056925.31999999</v>
      </c>
      <c r="J104" s="127"/>
      <c r="K104" s="126">
        <v>117400641.78</v>
      </c>
      <c r="L104" s="126"/>
      <c r="M104" s="126">
        <f>+'BS_Q4-67'!L11</f>
        <v>290505114.75999999</v>
      </c>
    </row>
    <row r="105" spans="1:16" ht="16.5" customHeight="1" x14ac:dyDescent="0.4">
      <c r="D105" s="10" t="s">
        <v>217</v>
      </c>
      <c r="E105" s="8"/>
      <c r="F105" s="8"/>
      <c r="G105" s="126">
        <f>+G104-G78</f>
        <v>0</v>
      </c>
      <c r="H105" s="126"/>
      <c r="I105" s="126">
        <f>+I104-I78</f>
        <v>0</v>
      </c>
      <c r="J105" s="126"/>
      <c r="K105" s="126">
        <f>+K104-K78</f>
        <v>0</v>
      </c>
      <c r="L105" s="126"/>
      <c r="M105" s="126">
        <f>+M104-M78</f>
        <v>0</v>
      </c>
    </row>
    <row r="106" spans="1:16" ht="16.5" customHeight="1" x14ac:dyDescent="0.4">
      <c r="E106" s="8"/>
      <c r="F106" s="8"/>
      <c r="G106" s="212"/>
      <c r="H106" s="212"/>
      <c r="I106" s="212"/>
      <c r="J106" s="212"/>
      <c r="L106" s="212"/>
      <c r="M106" s="212"/>
    </row>
    <row r="107" spans="1:16" ht="16.5" customHeight="1" x14ac:dyDescent="0.4">
      <c r="E107" s="8"/>
      <c r="F107" s="8"/>
      <c r="G107" s="212"/>
      <c r="H107" s="212"/>
      <c r="I107" s="212"/>
      <c r="J107" s="212"/>
      <c r="L107" s="212"/>
      <c r="M107" s="212"/>
    </row>
    <row r="108" spans="1:16" ht="16.5" customHeight="1" x14ac:dyDescent="0.4">
      <c r="E108" s="8"/>
      <c r="F108" s="8"/>
      <c r="G108" s="212"/>
      <c r="H108" s="212"/>
      <c r="I108" s="212"/>
      <c r="J108" s="212"/>
      <c r="L108" s="212"/>
      <c r="M108" s="212"/>
    </row>
    <row r="109" spans="1:16" ht="16.5" customHeight="1" x14ac:dyDescent="0.4">
      <c r="E109" s="8"/>
      <c r="F109" s="8"/>
      <c r="G109" s="212"/>
      <c r="H109" s="212"/>
      <c r="I109" s="212"/>
      <c r="J109" s="212"/>
      <c r="L109" s="212"/>
      <c r="M109" s="212"/>
    </row>
    <row r="110" spans="1:16" ht="16.5" customHeight="1" x14ac:dyDescent="0.4">
      <c r="E110" s="8"/>
      <c r="F110" s="8"/>
      <c r="G110" s="212"/>
      <c r="H110" s="212"/>
      <c r="I110" s="212"/>
      <c r="J110" s="212"/>
      <c r="L110" s="212"/>
      <c r="M110" s="212"/>
    </row>
    <row r="111" spans="1:16" ht="16.5" customHeight="1" x14ac:dyDescent="0.4">
      <c r="E111" s="8"/>
      <c r="F111" s="8"/>
      <c r="G111" s="212"/>
      <c r="H111" s="212"/>
      <c r="I111" s="212"/>
      <c r="J111" s="212"/>
      <c r="L111" s="212"/>
      <c r="M111" s="212"/>
    </row>
    <row r="112" spans="1:16" ht="16.5" customHeight="1" x14ac:dyDescent="0.4">
      <c r="E112" s="8"/>
      <c r="F112" s="8"/>
    </row>
    <row r="113" spans="5:6" ht="16.5" customHeight="1" x14ac:dyDescent="0.4">
      <c r="E113" s="8"/>
      <c r="F113" s="8"/>
    </row>
    <row r="114" spans="5:6" ht="16.5" customHeight="1" x14ac:dyDescent="0.4">
      <c r="E114" s="8"/>
      <c r="F114" s="8"/>
    </row>
    <row r="115" spans="5:6" ht="16.5" customHeight="1" x14ac:dyDescent="0.4">
      <c r="E115" s="8"/>
      <c r="F115" s="8"/>
    </row>
    <row r="116" spans="5:6" ht="16.5" customHeight="1" x14ac:dyDescent="0.4">
      <c r="E116" s="8"/>
      <c r="F116" s="8"/>
    </row>
    <row r="117" spans="5:6" ht="16.5" customHeight="1" x14ac:dyDescent="0.4">
      <c r="E117" s="8"/>
      <c r="F117" s="8"/>
    </row>
    <row r="118" spans="5:6" ht="16.5" customHeight="1" x14ac:dyDescent="0.4">
      <c r="E118" s="8"/>
      <c r="F118" s="8"/>
    </row>
    <row r="119" spans="5:6" ht="16.5" customHeight="1" x14ac:dyDescent="0.4">
      <c r="E119" s="8"/>
      <c r="F119" s="8"/>
    </row>
    <row r="120" spans="5:6" ht="16.5" customHeight="1" x14ac:dyDescent="0.4">
      <c r="E120" s="8"/>
      <c r="F120" s="8"/>
    </row>
    <row r="121" spans="5:6" ht="16.5" customHeight="1" x14ac:dyDescent="0.4">
      <c r="E121" s="8"/>
      <c r="F121" s="8"/>
    </row>
    <row r="122" spans="5:6" ht="16.5" customHeight="1" x14ac:dyDescent="0.4">
      <c r="E122" s="8"/>
      <c r="F122" s="8"/>
    </row>
    <row r="123" spans="5:6" ht="16.5" customHeight="1" x14ac:dyDescent="0.4">
      <c r="E123" s="8"/>
      <c r="F123" s="8"/>
    </row>
    <row r="124" spans="5:6" ht="16.5" customHeight="1" x14ac:dyDescent="0.4">
      <c r="E124" s="8"/>
      <c r="F124" s="8"/>
    </row>
    <row r="125" spans="5:6" ht="16.5" customHeight="1" x14ac:dyDescent="0.4">
      <c r="E125" s="8"/>
      <c r="F125" s="8"/>
    </row>
    <row r="126" spans="5:6" ht="16.5" customHeight="1" x14ac:dyDescent="0.4">
      <c r="E126" s="8"/>
      <c r="F126" s="8"/>
    </row>
    <row r="127" spans="5:6" ht="16.5" customHeight="1" x14ac:dyDescent="0.4">
      <c r="E127" s="8"/>
      <c r="F127" s="8"/>
    </row>
    <row r="128" spans="5:6" ht="16.5" customHeight="1" x14ac:dyDescent="0.4">
      <c r="E128" s="8"/>
      <c r="F128" s="8"/>
    </row>
    <row r="129" spans="5:6" ht="16.5" customHeight="1" x14ac:dyDescent="0.4">
      <c r="E129" s="8"/>
      <c r="F129" s="8"/>
    </row>
    <row r="130" spans="5:6" ht="16.5" customHeight="1" x14ac:dyDescent="0.4">
      <c r="E130" s="8"/>
      <c r="F130" s="8"/>
    </row>
    <row r="131" spans="5:6" ht="16.5" customHeight="1" x14ac:dyDescent="0.4">
      <c r="E131" s="8"/>
      <c r="F131" s="8"/>
    </row>
  </sheetData>
  <mergeCells count="10">
    <mergeCell ref="A56:M56"/>
    <mergeCell ref="A102:M102"/>
    <mergeCell ref="A3:M3"/>
    <mergeCell ref="G6:M6"/>
    <mergeCell ref="G7:I7"/>
    <mergeCell ref="K7:M7"/>
    <mergeCell ref="A4:M4"/>
    <mergeCell ref="A5:M5"/>
    <mergeCell ref="G8:I8"/>
    <mergeCell ref="K8:M8"/>
  </mergeCells>
  <phoneticPr fontId="0" type="noConversion"/>
  <pageMargins left="0.43" right="0" top="0.53" bottom="0.22" header="0.7" footer="0.13"/>
  <pageSetup paperSize="9" scale="90" firstPageNumber="8" orientation="portrait" useFirstPageNumber="1" r:id="rId1"/>
  <headerFooter alignWithMargins="0">
    <oddFooter>&amp;C&amp;P</oddFooter>
  </headerFooter>
  <rowBreaks count="1" manualBreakCount="1">
    <brk id="56" max="12" man="1"/>
  </rowBreaks>
  <ignoredErrors>
    <ignoredError sqref="E67:F67 F66" numberStoredAsText="1"/>
    <ignoredError sqref="H67 L67 J67" numberStoredAsText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1"/>
  <sheetViews>
    <sheetView view="pageBreakPreview" topLeftCell="A22" zoomScaleNormal="100" workbookViewId="0">
      <selection activeCell="C18" sqref="C18"/>
    </sheetView>
  </sheetViews>
  <sheetFormatPr defaultColWidth="9.140625" defaultRowHeight="21" x14ac:dyDescent="0.45"/>
  <cols>
    <col min="1" max="1" width="41.140625" style="84" customWidth="1"/>
    <col min="2" max="2" width="13.42578125" style="100" bestFit="1" customWidth="1"/>
    <col min="3" max="3" width="13.85546875" style="80" bestFit="1" customWidth="1"/>
    <col min="4" max="4" width="14.85546875" style="85" bestFit="1" customWidth="1"/>
    <col min="5" max="6" width="12.85546875" style="80" customWidth="1"/>
    <col min="7" max="7" width="14.85546875" style="80" bestFit="1" customWidth="1"/>
    <col min="8" max="8" width="15.140625" style="83" customWidth="1"/>
    <col min="9" max="10" width="12.85546875" style="80" customWidth="1"/>
    <col min="11" max="11" width="2.140625" style="84" customWidth="1"/>
    <col min="12" max="13" width="12.85546875" style="84" customWidth="1"/>
    <col min="14" max="16384" width="9.140625" style="84"/>
  </cols>
  <sheetData>
    <row r="1" spans="1:10" x14ac:dyDescent="0.45">
      <c r="A1" s="78" t="s">
        <v>52</v>
      </c>
      <c r="B1" s="79"/>
      <c r="D1" s="81"/>
      <c r="E1" s="82"/>
      <c r="F1" s="82"/>
    </row>
    <row r="2" spans="1:10" ht="21.75" customHeight="1" x14ac:dyDescent="0.45">
      <c r="A2" s="78" t="s">
        <v>89</v>
      </c>
      <c r="B2" s="79"/>
    </row>
    <row r="3" spans="1:10" ht="21.75" customHeight="1" x14ac:dyDescent="0.45">
      <c r="A3" s="86" t="s">
        <v>69</v>
      </c>
      <c r="B3" s="87"/>
      <c r="C3" s="88"/>
      <c r="D3" s="89"/>
      <c r="E3" s="88"/>
      <c r="F3" s="88"/>
      <c r="G3" s="88"/>
      <c r="H3" s="90"/>
      <c r="I3" s="88"/>
      <c r="J3" s="88"/>
    </row>
    <row r="4" spans="1:10" ht="21.75" customHeight="1" x14ac:dyDescent="0.45">
      <c r="A4" s="91"/>
      <c r="B4" s="79"/>
      <c r="H4" s="239" t="s">
        <v>71</v>
      </c>
      <c r="I4" s="239"/>
    </row>
    <row r="5" spans="1:10" s="93" customFormat="1" ht="24" customHeight="1" x14ac:dyDescent="0.45">
      <c r="B5" s="94" t="s">
        <v>63</v>
      </c>
      <c r="C5" s="92" t="s">
        <v>64</v>
      </c>
      <c r="D5" s="87" t="s">
        <v>65</v>
      </c>
      <c r="E5" s="92" t="s">
        <v>67</v>
      </c>
      <c r="F5" s="92" t="s">
        <v>66</v>
      </c>
      <c r="G5" s="92" t="s">
        <v>27</v>
      </c>
      <c r="H5" s="95" t="s">
        <v>72</v>
      </c>
      <c r="I5" s="82" t="s">
        <v>73</v>
      </c>
      <c r="J5" s="88" t="s">
        <v>33</v>
      </c>
    </row>
    <row r="6" spans="1:10" s="93" customFormat="1" ht="24.75" customHeight="1" x14ac:dyDescent="0.45">
      <c r="A6" s="96" t="s">
        <v>90</v>
      </c>
      <c r="B6" s="97"/>
      <c r="C6" s="82"/>
      <c r="D6" s="81"/>
      <c r="E6" s="82"/>
      <c r="F6" s="82"/>
      <c r="G6" s="82"/>
      <c r="H6" s="98"/>
      <c r="I6" s="82"/>
      <c r="J6" s="80"/>
    </row>
    <row r="7" spans="1:10" s="93" customFormat="1" ht="18" customHeight="1" x14ac:dyDescent="0.45">
      <c r="B7" s="97"/>
      <c r="C7" s="82"/>
      <c r="D7" s="81"/>
      <c r="E7" s="99">
        <v>25000</v>
      </c>
      <c r="F7" s="99">
        <v>250000</v>
      </c>
      <c r="G7" s="82"/>
      <c r="H7" s="98"/>
      <c r="I7" s="82"/>
      <c r="J7" s="80"/>
    </row>
    <row r="8" spans="1:10" x14ac:dyDescent="0.45">
      <c r="A8" s="84" t="s">
        <v>98</v>
      </c>
      <c r="B8" s="100">
        <v>4250000</v>
      </c>
      <c r="C8" s="80">
        <v>10000000</v>
      </c>
      <c r="D8" s="85">
        <v>42940000</v>
      </c>
      <c r="E8" s="80">
        <f>+E7*36.48</f>
        <v>911999.99999999988</v>
      </c>
      <c r="F8" s="80">
        <f>+F7*35.32</f>
        <v>8830000</v>
      </c>
    </row>
    <row r="9" spans="1:10" x14ac:dyDescent="0.45">
      <c r="A9" s="84" t="s">
        <v>128</v>
      </c>
      <c r="B9" s="100">
        <v>533031.27</v>
      </c>
      <c r="C9" s="80">
        <v>-11662591.75</v>
      </c>
      <c r="D9" s="85">
        <v>-18618021.34</v>
      </c>
      <c r="E9" s="80">
        <v>0</v>
      </c>
      <c r="F9" s="80">
        <v>0</v>
      </c>
    </row>
    <row r="10" spans="1:10" x14ac:dyDescent="0.45">
      <c r="A10" s="84" t="s">
        <v>91</v>
      </c>
      <c r="B10" s="100">
        <v>99.99</v>
      </c>
      <c r="C10" s="80">
        <v>49.99</v>
      </c>
      <c r="D10" s="85">
        <v>99.99</v>
      </c>
      <c r="E10" s="80">
        <v>100</v>
      </c>
      <c r="F10" s="80">
        <v>51</v>
      </c>
    </row>
    <row r="11" spans="1:10" x14ac:dyDescent="0.45">
      <c r="A11" s="101" t="s">
        <v>92</v>
      </c>
      <c r="B11" s="89">
        <f>+B10*B8/100</f>
        <v>4249575</v>
      </c>
      <c r="C11" s="89">
        <f>+C10*C8/100</f>
        <v>4999000</v>
      </c>
      <c r="D11" s="89">
        <f>+D10*D8/100</f>
        <v>42935706</v>
      </c>
      <c r="E11" s="89">
        <f>+E10*E8/100</f>
        <v>911999.99999999988</v>
      </c>
      <c r="F11" s="89">
        <f>+F10*F8/100</f>
        <v>4503300</v>
      </c>
      <c r="G11" s="88"/>
      <c r="H11" s="102"/>
    </row>
    <row r="12" spans="1:10" x14ac:dyDescent="0.45">
      <c r="A12" s="84" t="s">
        <v>97</v>
      </c>
      <c r="B12" s="103">
        <v>4001000</v>
      </c>
      <c r="C12" s="104">
        <v>1250375</v>
      </c>
      <c r="D12" s="105">
        <f>24321978.66+21431024.34</f>
        <v>45753003</v>
      </c>
      <c r="E12" s="104">
        <v>912000</v>
      </c>
      <c r="F12" s="104">
        <v>4503300</v>
      </c>
      <c r="G12" s="106">
        <f t="shared" ref="G12:G17" si="0">+SUM(B12:F12)</f>
        <v>56419678</v>
      </c>
    </row>
    <row r="13" spans="1:10" x14ac:dyDescent="0.45">
      <c r="A13" s="107" t="s">
        <v>93</v>
      </c>
      <c r="B13" s="108">
        <v>4782963.74</v>
      </c>
      <c r="C13" s="89">
        <v>-1662591.75</v>
      </c>
      <c r="D13" s="89">
        <v>24321978.66</v>
      </c>
      <c r="E13" s="89">
        <v>899000</v>
      </c>
      <c r="F13" s="89">
        <v>4584900</v>
      </c>
      <c r="G13" s="109">
        <f t="shared" si="0"/>
        <v>32926250.649999999</v>
      </c>
      <c r="H13" s="102"/>
    </row>
    <row r="14" spans="1:10" x14ac:dyDescent="0.45">
      <c r="A14" s="110" t="s">
        <v>9</v>
      </c>
      <c r="B14" s="111">
        <f>+B13-B12</f>
        <v>781963.74000000022</v>
      </c>
      <c r="C14" s="111">
        <f>+C13-C12</f>
        <v>-2912966.75</v>
      </c>
      <c r="D14" s="111">
        <f>+D13-D12</f>
        <v>-21431024.34</v>
      </c>
      <c r="E14" s="111">
        <f>+E13-E12</f>
        <v>-13000</v>
      </c>
      <c r="F14" s="111">
        <f>+F13-F12</f>
        <v>81600</v>
      </c>
      <c r="G14" s="109">
        <f t="shared" si="0"/>
        <v>-23493427.350000001</v>
      </c>
      <c r="H14" s="102"/>
    </row>
    <row r="15" spans="1:10" x14ac:dyDescent="0.45">
      <c r="A15" s="112" t="s">
        <v>94</v>
      </c>
      <c r="B15" s="80">
        <v>9963921.2899999991</v>
      </c>
      <c r="C15" s="80">
        <v>-1090678.93</v>
      </c>
      <c r="D15" s="85">
        <v>-1566605.83</v>
      </c>
      <c r="E15" s="80">
        <v>271135.14</v>
      </c>
      <c r="F15" s="80">
        <v>40003.35</v>
      </c>
      <c r="G15" s="80">
        <f t="shared" si="0"/>
        <v>7617775.0199999986</v>
      </c>
    </row>
    <row r="16" spans="1:10" x14ac:dyDescent="0.45">
      <c r="A16" s="84" t="s">
        <v>95</v>
      </c>
      <c r="B16" s="100">
        <f>+B15*B10/100</f>
        <v>9962924.8978709988</v>
      </c>
      <c r="C16" s="100"/>
      <c r="D16" s="100"/>
      <c r="E16" s="100">
        <f>+E15*E10/100</f>
        <v>271135.14</v>
      </c>
      <c r="F16" s="100">
        <f>+F15*F10/100</f>
        <v>20401.708499999997</v>
      </c>
      <c r="G16" s="80">
        <f t="shared" si="0"/>
        <v>10254461.746370999</v>
      </c>
    </row>
    <row r="17" spans="1:10" x14ac:dyDescent="0.45">
      <c r="A17" s="84" t="s">
        <v>96</v>
      </c>
      <c r="C17" s="100">
        <f>+C15*C10/100</f>
        <v>-545230.397107</v>
      </c>
      <c r="D17" s="100">
        <f>+D15*D10/100</f>
        <v>-1566449.1694170001</v>
      </c>
      <c r="E17" s="100"/>
      <c r="F17" s="100"/>
      <c r="G17" s="80">
        <f t="shared" si="0"/>
        <v>-2111679.5665239999</v>
      </c>
    </row>
    <row r="18" spans="1:10" x14ac:dyDescent="0.45">
      <c r="C18" s="100"/>
      <c r="D18" s="100"/>
      <c r="E18" s="100"/>
      <c r="F18" s="100"/>
    </row>
    <row r="19" spans="1:10" x14ac:dyDescent="0.45">
      <c r="A19" s="84" t="s">
        <v>118</v>
      </c>
      <c r="B19" s="100">
        <f>+B15*(100-B10)/100</f>
        <v>996.39212900050961</v>
      </c>
      <c r="C19" s="100">
        <f>+C15*(100-C10)/100</f>
        <v>-545448.53289299994</v>
      </c>
      <c r="D19" s="100">
        <f>+D15*(100-D10)/100</f>
        <v>-156.66058300008015</v>
      </c>
      <c r="E19" s="100">
        <f>+E15*(100-E10)/100</f>
        <v>0</v>
      </c>
      <c r="F19" s="100">
        <f>+F15*(100-F10)/100</f>
        <v>19601.641499999998</v>
      </c>
      <c r="G19" s="113">
        <f>+SUM(B19:F19)</f>
        <v>-525007.15984699945</v>
      </c>
    </row>
    <row r="20" spans="1:10" x14ac:dyDescent="0.45">
      <c r="C20" s="100"/>
      <c r="D20" s="100"/>
      <c r="E20" s="100"/>
      <c r="F20" s="100"/>
    </row>
    <row r="21" spans="1:10" x14ac:dyDescent="0.45">
      <c r="C21" s="100"/>
      <c r="D21" s="100"/>
      <c r="E21" s="100"/>
      <c r="F21" s="100"/>
    </row>
    <row r="22" spans="1:10" x14ac:dyDescent="0.45">
      <c r="A22" s="107" t="s">
        <v>125</v>
      </c>
      <c r="B22" s="100">
        <f>+B15+B8+B9</f>
        <v>14746952.559999999</v>
      </c>
      <c r="C22" s="100">
        <f>+C15+C8+C9</f>
        <v>-2753270.6799999997</v>
      </c>
      <c r="D22" s="100">
        <f>+D15+D8+D9</f>
        <v>22755372.830000002</v>
      </c>
      <c r="E22" s="100">
        <f>+E15+E8+E9</f>
        <v>1183135.1399999999</v>
      </c>
      <c r="F22" s="100">
        <f>+F15+F8+F9</f>
        <v>8870003.3499999996</v>
      </c>
    </row>
    <row r="23" spans="1:10" x14ac:dyDescent="0.45">
      <c r="A23" s="84" t="s">
        <v>126</v>
      </c>
      <c r="B23" s="100">
        <f>+B22*(100-B10)/100</f>
        <v>1474.6952560007544</v>
      </c>
      <c r="C23" s="100">
        <f>+C22*(100-C10)/100</f>
        <v>-1376910.667068</v>
      </c>
      <c r="D23" s="100">
        <f>+D22*(100-D10)/100</f>
        <v>2275.5372830011643</v>
      </c>
      <c r="E23" s="100">
        <f>+E22*(100-E10)/100</f>
        <v>0</v>
      </c>
      <c r="F23" s="100">
        <f>+F22*(100-F10)/100</f>
        <v>4346301.6414999999</v>
      </c>
      <c r="G23" s="113">
        <f>+SUM(B23:F23)</f>
        <v>2973141.2069710018</v>
      </c>
    </row>
    <row r="24" spans="1:10" x14ac:dyDescent="0.45">
      <c r="A24" s="84" t="s">
        <v>127</v>
      </c>
      <c r="C24" s="100"/>
      <c r="D24" s="100"/>
      <c r="E24" s="100"/>
      <c r="F24" s="100">
        <v>-4274821.25</v>
      </c>
      <c r="G24" s="113">
        <f>+SUM(B24:F24)</f>
        <v>-4274821.25</v>
      </c>
    </row>
    <row r="25" spans="1:10" x14ac:dyDescent="0.45">
      <c r="C25" s="100"/>
      <c r="D25" s="100"/>
      <c r="E25" s="100"/>
      <c r="F25" s="100"/>
      <c r="G25" s="113"/>
    </row>
    <row r="26" spans="1:10" x14ac:dyDescent="0.45">
      <c r="C26" s="100"/>
      <c r="D26" s="100"/>
      <c r="E26" s="100"/>
      <c r="F26" s="100"/>
      <c r="G26" s="113"/>
    </row>
    <row r="27" spans="1:10" ht="21.75" thickBot="1" x14ac:dyDescent="0.5">
      <c r="C27" s="100"/>
      <c r="D27" s="100"/>
      <c r="E27" s="100"/>
      <c r="F27" s="100"/>
      <c r="G27" s="114">
        <f>SUM(G23:G26)</f>
        <v>-1301680.0430289982</v>
      </c>
    </row>
    <row r="28" spans="1:10" ht="21.75" thickTop="1" x14ac:dyDescent="0.45">
      <c r="C28" s="85"/>
    </row>
    <row r="29" spans="1:10" x14ac:dyDescent="0.45">
      <c r="A29" s="115" t="s">
        <v>34</v>
      </c>
      <c r="B29" s="85"/>
      <c r="G29" s="80">
        <v>-2135652.63</v>
      </c>
    </row>
    <row r="30" spans="1:10" x14ac:dyDescent="0.45">
      <c r="A30" s="84" t="s">
        <v>101</v>
      </c>
      <c r="B30" s="85"/>
      <c r="G30" s="80">
        <f>+G29-G27</f>
        <v>-833972.5869710017</v>
      </c>
    </row>
    <row r="31" spans="1:10" x14ac:dyDescent="0.45">
      <c r="A31" s="84" t="s">
        <v>106</v>
      </c>
      <c r="B31" s="85"/>
      <c r="C31" s="85">
        <f>23544963.08-13000</f>
        <v>23531963.079999998</v>
      </c>
      <c r="E31" s="85"/>
      <c r="F31" s="85"/>
      <c r="G31" s="85"/>
      <c r="H31" s="116"/>
      <c r="I31" s="85"/>
      <c r="J31" s="85"/>
    </row>
    <row r="32" spans="1:10" x14ac:dyDescent="0.45">
      <c r="A32" s="84" t="s">
        <v>107</v>
      </c>
      <c r="B32" s="85"/>
      <c r="D32" s="85">
        <f>+C31</f>
        <v>23531963.079999998</v>
      </c>
      <c r="G32" s="80">
        <v>78400</v>
      </c>
      <c r="H32" s="102"/>
    </row>
    <row r="33" spans="1:8" x14ac:dyDescent="0.45">
      <c r="G33" s="80">
        <v>-615.72</v>
      </c>
    </row>
    <row r="34" spans="1:8" x14ac:dyDescent="0.45">
      <c r="G34" s="80">
        <v>781963.74</v>
      </c>
    </row>
    <row r="35" spans="1:8" x14ac:dyDescent="0.45">
      <c r="A35" s="84" t="s">
        <v>102</v>
      </c>
      <c r="G35" s="80">
        <f>SUM(G32:G34)</f>
        <v>859748.02</v>
      </c>
    </row>
    <row r="36" spans="1:8" x14ac:dyDescent="0.45">
      <c r="A36" s="84" t="s">
        <v>104</v>
      </c>
      <c r="C36" s="80">
        <v>22681399.34</v>
      </c>
    </row>
    <row r="37" spans="1:8" x14ac:dyDescent="0.45">
      <c r="A37" s="84" t="s">
        <v>105</v>
      </c>
      <c r="D37" s="85">
        <f>+C36</f>
        <v>22681399.34</v>
      </c>
    </row>
    <row r="39" spans="1:8" x14ac:dyDescent="0.45">
      <c r="A39" s="84" t="s">
        <v>120</v>
      </c>
    </row>
    <row r="40" spans="1:8" x14ac:dyDescent="0.45">
      <c r="A40" s="84" t="s">
        <v>121</v>
      </c>
      <c r="C40" s="80">
        <v>1662591.75</v>
      </c>
    </row>
    <row r="41" spans="1:8" x14ac:dyDescent="0.45">
      <c r="A41" s="84" t="s">
        <v>122</v>
      </c>
      <c r="B41" s="85"/>
      <c r="D41" s="85">
        <f>+++++++C40</f>
        <v>1662591.75</v>
      </c>
    </row>
    <row r="42" spans="1:8" x14ac:dyDescent="0.45">
      <c r="B42" s="85"/>
    </row>
    <row r="43" spans="1:8" x14ac:dyDescent="0.45">
      <c r="B43" s="85"/>
    </row>
    <row r="44" spans="1:8" x14ac:dyDescent="0.45">
      <c r="A44" s="115" t="s">
        <v>33</v>
      </c>
      <c r="B44" s="85"/>
    </row>
    <row r="45" spans="1:8" x14ac:dyDescent="0.45">
      <c r="A45" s="84" t="s">
        <v>103</v>
      </c>
      <c r="B45" s="85"/>
      <c r="C45" s="80">
        <f>+G16+G17</f>
        <v>8142782.1798469992</v>
      </c>
    </row>
    <row r="46" spans="1:8" x14ac:dyDescent="0.45">
      <c r="A46" s="84" t="s">
        <v>100</v>
      </c>
      <c r="B46" s="85"/>
    </row>
    <row r="47" spans="1:8" x14ac:dyDescent="0.45">
      <c r="A47" s="84" t="s">
        <v>99</v>
      </c>
      <c r="B47" s="85"/>
      <c r="H47" s="102"/>
    </row>
    <row r="48" spans="1:8" x14ac:dyDescent="0.45">
      <c r="B48" s="85"/>
    </row>
    <row r="49" spans="1:10" x14ac:dyDescent="0.45">
      <c r="B49" s="85"/>
    </row>
    <row r="50" spans="1:10" x14ac:dyDescent="0.45">
      <c r="B50" s="85"/>
    </row>
    <row r="51" spans="1:10" x14ac:dyDescent="0.45">
      <c r="B51" s="85"/>
      <c r="C51" s="85"/>
      <c r="E51" s="85"/>
      <c r="F51" s="85"/>
      <c r="G51" s="85"/>
      <c r="I51" s="85"/>
      <c r="J51" s="85"/>
    </row>
    <row r="52" spans="1:10" x14ac:dyDescent="0.45">
      <c r="B52" s="85"/>
    </row>
    <row r="53" spans="1:10" x14ac:dyDescent="0.45">
      <c r="B53" s="80"/>
    </row>
    <row r="54" spans="1:10" x14ac:dyDescent="0.45">
      <c r="B54" s="85"/>
    </row>
    <row r="55" spans="1:10" x14ac:dyDescent="0.45">
      <c r="B55" s="85"/>
      <c r="C55" s="85"/>
      <c r="E55" s="85"/>
      <c r="F55" s="85"/>
      <c r="G55" s="85"/>
      <c r="J55" s="85"/>
    </row>
    <row r="56" spans="1:10" x14ac:dyDescent="0.45">
      <c r="B56" s="85"/>
      <c r="C56" s="85"/>
      <c r="E56" s="85"/>
      <c r="F56" s="85"/>
      <c r="G56" s="85"/>
      <c r="J56" s="85"/>
    </row>
    <row r="57" spans="1:10" x14ac:dyDescent="0.45">
      <c r="B57" s="85"/>
    </row>
    <row r="58" spans="1:10" x14ac:dyDescent="0.45">
      <c r="A58" s="117"/>
      <c r="B58" s="85"/>
      <c r="H58" s="102"/>
    </row>
    <row r="59" spans="1:10" x14ac:dyDescent="0.45">
      <c r="A59" s="118"/>
      <c r="B59" s="85"/>
    </row>
    <row r="60" spans="1:10" x14ac:dyDescent="0.45">
      <c r="A60" s="118"/>
      <c r="B60" s="85"/>
    </row>
    <row r="61" spans="1:10" x14ac:dyDescent="0.45">
      <c r="A61" s="118"/>
      <c r="B61" s="85"/>
    </row>
    <row r="62" spans="1:10" x14ac:dyDescent="0.45">
      <c r="B62" s="85"/>
    </row>
    <row r="63" spans="1:10" x14ac:dyDescent="0.45">
      <c r="B63" s="119"/>
    </row>
    <row r="64" spans="1:10" x14ac:dyDescent="0.45">
      <c r="B64" s="85"/>
    </row>
    <row r="65" spans="1:10" x14ac:dyDescent="0.45">
      <c r="B65" s="85"/>
      <c r="C65" s="85"/>
      <c r="E65" s="85"/>
      <c r="F65" s="85"/>
      <c r="G65" s="85"/>
      <c r="J65" s="85"/>
    </row>
    <row r="66" spans="1:10" x14ac:dyDescent="0.45">
      <c r="B66" s="85"/>
      <c r="C66" s="85"/>
      <c r="E66" s="85"/>
      <c r="F66" s="85"/>
      <c r="G66" s="85"/>
    </row>
    <row r="67" spans="1:10" x14ac:dyDescent="0.45">
      <c r="B67" s="85"/>
      <c r="C67" s="85"/>
      <c r="E67" s="85"/>
      <c r="F67" s="85"/>
      <c r="G67" s="85"/>
      <c r="J67" s="85"/>
    </row>
    <row r="68" spans="1:10" x14ac:dyDescent="0.45">
      <c r="B68" s="85"/>
      <c r="C68" s="85"/>
      <c r="E68" s="85"/>
      <c r="F68" s="85"/>
      <c r="G68" s="85"/>
      <c r="J68" s="85"/>
    </row>
    <row r="69" spans="1:10" x14ac:dyDescent="0.45">
      <c r="B69" s="85"/>
    </row>
    <row r="70" spans="1:10" x14ac:dyDescent="0.45">
      <c r="B70" s="120"/>
      <c r="C70" s="120"/>
      <c r="D70" s="120"/>
      <c r="E70" s="120"/>
      <c r="F70" s="120"/>
      <c r="G70" s="120"/>
      <c r="H70" s="121"/>
      <c r="I70" s="122"/>
      <c r="J70" s="120"/>
    </row>
    <row r="71" spans="1:10" x14ac:dyDescent="0.45">
      <c r="A71" s="123"/>
      <c r="B71" s="123"/>
    </row>
    <row r="72" spans="1:10" x14ac:dyDescent="0.45">
      <c r="A72" s="124"/>
      <c r="B72" s="124"/>
    </row>
    <row r="73" spans="1:10" x14ac:dyDescent="0.45">
      <c r="A73" s="124"/>
      <c r="B73" s="124"/>
    </row>
    <row r="74" spans="1:10" ht="18" customHeight="1" x14ac:dyDescent="0.45">
      <c r="A74" s="124"/>
      <c r="B74" s="124"/>
    </row>
    <row r="75" spans="1:10" x14ac:dyDescent="0.45">
      <c r="B75" s="85"/>
    </row>
    <row r="76" spans="1:10" x14ac:dyDescent="0.45">
      <c r="B76" s="85"/>
      <c r="E76" s="85"/>
      <c r="F76" s="85"/>
      <c r="H76" s="102"/>
    </row>
    <row r="77" spans="1:10" x14ac:dyDescent="0.45">
      <c r="B77" s="85"/>
      <c r="E77" s="85"/>
      <c r="F77" s="85"/>
    </row>
    <row r="78" spans="1:10" x14ac:dyDescent="0.45">
      <c r="B78" s="85"/>
      <c r="E78" s="85"/>
      <c r="F78" s="85"/>
    </row>
    <row r="79" spans="1:10" x14ac:dyDescent="0.45">
      <c r="B79" s="85"/>
      <c r="E79" s="85"/>
      <c r="F79" s="85"/>
      <c r="H79" s="102"/>
    </row>
    <row r="80" spans="1:10" x14ac:dyDescent="0.45">
      <c r="B80" s="85"/>
      <c r="E80" s="85"/>
      <c r="F80" s="85"/>
    </row>
    <row r="81" spans="2:8" x14ac:dyDescent="0.45">
      <c r="B81" s="85"/>
      <c r="C81" s="85"/>
      <c r="E81" s="85"/>
      <c r="F81" s="85"/>
      <c r="G81" s="85"/>
    </row>
    <row r="82" spans="2:8" x14ac:dyDescent="0.45">
      <c r="B82" s="85"/>
      <c r="E82" s="85"/>
      <c r="F82" s="85"/>
      <c r="G82" s="85"/>
    </row>
    <row r="83" spans="2:8" x14ac:dyDescent="0.45">
      <c r="B83" s="85"/>
      <c r="C83" s="85"/>
      <c r="E83" s="85"/>
      <c r="F83" s="85"/>
    </row>
    <row r="84" spans="2:8" x14ac:dyDescent="0.45">
      <c r="B84" s="85"/>
      <c r="C84" s="85"/>
      <c r="E84" s="85"/>
      <c r="F84" s="85"/>
      <c r="H84" s="102"/>
    </row>
    <row r="85" spans="2:8" x14ac:dyDescent="0.45">
      <c r="B85" s="85"/>
      <c r="C85" s="85"/>
      <c r="E85" s="85"/>
      <c r="F85" s="85"/>
    </row>
    <row r="86" spans="2:8" x14ac:dyDescent="0.45">
      <c r="B86" s="85"/>
      <c r="C86" s="85"/>
      <c r="E86" s="85"/>
      <c r="F86" s="85"/>
    </row>
    <row r="87" spans="2:8" x14ac:dyDescent="0.45">
      <c r="B87" s="85"/>
      <c r="C87" s="85"/>
      <c r="E87" s="85"/>
      <c r="F87" s="85"/>
      <c r="G87" s="85"/>
    </row>
    <row r="88" spans="2:8" x14ac:dyDescent="0.45">
      <c r="B88" s="85"/>
      <c r="C88" s="85"/>
      <c r="E88" s="85"/>
      <c r="F88" s="85"/>
      <c r="G88" s="85"/>
    </row>
    <row r="89" spans="2:8" x14ac:dyDescent="0.45">
      <c r="B89" s="85"/>
      <c r="C89" s="85"/>
      <c r="E89" s="85"/>
      <c r="F89" s="85"/>
      <c r="G89" s="85"/>
    </row>
    <row r="90" spans="2:8" x14ac:dyDescent="0.45">
      <c r="B90" s="85"/>
      <c r="C90" s="85"/>
      <c r="E90" s="85"/>
      <c r="F90" s="85"/>
    </row>
    <row r="91" spans="2:8" x14ac:dyDescent="0.45">
      <c r="B91" s="119"/>
      <c r="C91" s="119"/>
      <c r="D91" s="119"/>
      <c r="E91" s="119"/>
      <c r="F91" s="119"/>
    </row>
    <row r="92" spans="2:8" x14ac:dyDescent="0.45">
      <c r="B92" s="123"/>
      <c r="C92" s="123"/>
      <c r="D92" s="123"/>
      <c r="E92" s="123"/>
      <c r="F92" s="123"/>
      <c r="G92" s="123"/>
    </row>
    <row r="93" spans="2:8" x14ac:dyDescent="0.45">
      <c r="B93" s="119"/>
      <c r="C93" s="119"/>
      <c r="D93" s="119"/>
      <c r="E93" s="119"/>
      <c r="F93" s="119"/>
      <c r="G93" s="119"/>
    </row>
    <row r="94" spans="2:8" x14ac:dyDescent="0.45">
      <c r="B94" s="85"/>
      <c r="C94" s="85"/>
      <c r="E94" s="85"/>
      <c r="F94" s="85"/>
      <c r="G94" s="85"/>
    </row>
    <row r="95" spans="2:8" ht="9.9499999999999993" customHeight="1" x14ac:dyDescent="0.45">
      <c r="B95" s="85"/>
      <c r="C95" s="85"/>
      <c r="E95" s="85"/>
      <c r="F95" s="85"/>
      <c r="G95" s="85"/>
    </row>
    <row r="96" spans="2:8" x14ac:dyDescent="0.45">
      <c r="B96" s="85"/>
    </row>
    <row r="97" spans="2:2" x14ac:dyDescent="0.45">
      <c r="B97" s="85"/>
    </row>
    <row r="98" spans="2:2" x14ac:dyDescent="0.45">
      <c r="B98" s="85"/>
    </row>
    <row r="99" spans="2:2" x14ac:dyDescent="0.45">
      <c r="B99" s="85"/>
    </row>
    <row r="100" spans="2:2" x14ac:dyDescent="0.45">
      <c r="B100" s="85"/>
    </row>
    <row r="101" spans="2:2" x14ac:dyDescent="0.45">
      <c r="B101" s="85"/>
    </row>
  </sheetData>
  <mergeCells count="1">
    <mergeCell ref="H4:I4"/>
  </mergeCells>
  <phoneticPr fontId="0" type="noConversion"/>
  <pageMargins left="0.75" right="0.22" top="1" bottom="1" header="0.5" footer="0.5"/>
  <pageSetup paperSize="9" scale="76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2"/>
  <sheetViews>
    <sheetView view="pageBreakPreview" topLeftCell="A3" zoomScaleNormal="100" workbookViewId="0">
      <pane xSplit="3" ySplit="2" topLeftCell="D56" activePane="bottomRight" state="frozen"/>
      <selection activeCell="A3" sqref="A3"/>
      <selection pane="topRight" activeCell="D3" sqref="D3"/>
      <selection pane="bottomLeft" activeCell="A5" sqref="A5"/>
      <selection pane="bottomRight" activeCell="C18" sqref="C18"/>
    </sheetView>
  </sheetViews>
  <sheetFormatPr defaultColWidth="9.140625" defaultRowHeight="18" x14ac:dyDescent="0.4"/>
  <cols>
    <col min="1" max="2" width="2.85546875" style="3" customWidth="1"/>
    <col min="3" max="3" width="36.85546875" style="3" customWidth="1"/>
    <col min="4" max="5" width="12.85546875" style="5" customWidth="1"/>
    <col min="6" max="6" width="12.85546875" style="1" customWidth="1"/>
    <col min="7" max="7" width="12.85546875" style="2" customWidth="1"/>
    <col min="8" max="10" width="12.85546875" style="1" customWidth="1"/>
    <col min="11" max="11" width="15.140625" style="51" customWidth="1"/>
    <col min="12" max="13" width="12.85546875" style="1" customWidth="1"/>
    <col min="14" max="14" width="2.140625" style="3" customWidth="1"/>
    <col min="15" max="16" width="12.85546875" style="3" customWidth="1"/>
    <col min="17" max="16384" width="9.140625" style="3"/>
  </cols>
  <sheetData>
    <row r="1" spans="1:15" x14ac:dyDescent="0.4">
      <c r="A1" s="44" t="s">
        <v>52</v>
      </c>
      <c r="B1" s="26"/>
      <c r="C1" s="26"/>
      <c r="D1" s="26"/>
      <c r="E1" s="26"/>
      <c r="G1" s="41"/>
      <c r="H1" s="42"/>
      <c r="I1" s="42"/>
    </row>
    <row r="2" spans="1:15" ht="21.75" customHeight="1" x14ac:dyDescent="0.4">
      <c r="A2" s="44" t="s">
        <v>70</v>
      </c>
      <c r="B2" s="26"/>
      <c r="C2" s="26"/>
      <c r="D2" s="26"/>
      <c r="E2" s="26"/>
    </row>
    <row r="3" spans="1:15" ht="21.75" customHeight="1" x14ac:dyDescent="0.4">
      <c r="A3" s="39" t="s">
        <v>69</v>
      </c>
      <c r="B3" s="26"/>
      <c r="C3" s="26"/>
      <c r="D3" s="26"/>
      <c r="E3" s="26"/>
      <c r="K3" s="223" t="s">
        <v>71</v>
      </c>
      <c r="L3" s="223"/>
    </row>
    <row r="4" spans="1:15" s="35" customFormat="1" ht="18" customHeight="1" x14ac:dyDescent="0.4">
      <c r="D4" s="45" t="s">
        <v>62</v>
      </c>
      <c r="E4" s="45" t="s">
        <v>63</v>
      </c>
      <c r="F4" s="47" t="s">
        <v>64</v>
      </c>
      <c r="G4" s="48" t="s">
        <v>65</v>
      </c>
      <c r="H4" s="47" t="s">
        <v>66</v>
      </c>
      <c r="I4" s="47" t="s">
        <v>67</v>
      </c>
      <c r="J4" s="47" t="s">
        <v>27</v>
      </c>
      <c r="K4" s="52" t="s">
        <v>72</v>
      </c>
      <c r="L4" s="49" t="s">
        <v>73</v>
      </c>
      <c r="M4" s="46" t="s">
        <v>33</v>
      </c>
    </row>
    <row r="5" spans="1:15" x14ac:dyDescent="0.4">
      <c r="A5" s="9" t="s">
        <v>8</v>
      </c>
      <c r="B5" s="9"/>
      <c r="C5" s="9"/>
      <c r="D5" s="11"/>
      <c r="E5" s="11"/>
    </row>
    <row r="6" spans="1:15" x14ac:dyDescent="0.4">
      <c r="A6" s="9"/>
      <c r="B6" s="9" t="s">
        <v>17</v>
      </c>
      <c r="C6" s="9"/>
      <c r="D6" s="5">
        <v>316767129.02999997</v>
      </c>
      <c r="E6" s="11">
        <v>19205751.710000001</v>
      </c>
      <c r="F6" s="1">
        <v>683</v>
      </c>
      <c r="G6" s="2">
        <v>1253.52</v>
      </c>
      <c r="H6" s="1">
        <v>4071032.52</v>
      </c>
      <c r="I6" s="1">
        <v>1144397.81</v>
      </c>
      <c r="J6" s="1">
        <f>+I6+H6+G6+F6+E6+D6</f>
        <v>341190247.58999997</v>
      </c>
      <c r="M6" s="1">
        <f>+L6+J6</f>
        <v>341190247.58999997</v>
      </c>
    </row>
    <row r="7" spans="1:15" x14ac:dyDescent="0.4">
      <c r="A7" s="9"/>
      <c r="B7" s="9" t="s">
        <v>53</v>
      </c>
      <c r="C7" s="9"/>
      <c r="D7" s="5">
        <v>40216527.100000001</v>
      </c>
      <c r="E7" s="11"/>
      <c r="J7" s="1">
        <f t="shared" ref="J7:J18" si="0">+I7+H7+G7+F7+E7+D7</f>
        <v>40216527.100000001</v>
      </c>
      <c r="M7" s="1">
        <f t="shared" ref="M7:M78" si="1">+L7+J7</f>
        <v>40216527.100000001</v>
      </c>
    </row>
    <row r="8" spans="1:15" x14ac:dyDescent="0.4">
      <c r="A8" s="9"/>
      <c r="B8" s="9" t="s">
        <v>74</v>
      </c>
      <c r="C8" s="9"/>
      <c r="D8" s="11">
        <v>6241052.1100000003</v>
      </c>
      <c r="E8" s="11"/>
      <c r="H8" s="1">
        <v>0</v>
      </c>
      <c r="J8" s="1">
        <f t="shared" si="0"/>
        <v>6241052.1100000003</v>
      </c>
      <c r="K8" s="55" t="s">
        <v>84</v>
      </c>
      <c r="L8" s="1">
        <v>-4636052.1100000003</v>
      </c>
      <c r="M8" s="1">
        <f t="shared" si="1"/>
        <v>1605000</v>
      </c>
    </row>
    <row r="9" spans="1:15" x14ac:dyDescent="0.4">
      <c r="A9" s="9"/>
      <c r="B9" s="9" t="s">
        <v>75</v>
      </c>
      <c r="C9" s="9"/>
      <c r="D9" s="11">
        <v>5331982.99</v>
      </c>
      <c r="E9" s="11"/>
      <c r="H9" s="1">
        <v>0</v>
      </c>
      <c r="J9" s="1">
        <f t="shared" si="0"/>
        <v>5331982.99</v>
      </c>
      <c r="M9" s="1">
        <f t="shared" si="1"/>
        <v>5331982.99</v>
      </c>
    </row>
    <row r="10" spans="1:15" x14ac:dyDescent="0.4">
      <c r="A10" s="9"/>
      <c r="B10" s="9" t="s">
        <v>113</v>
      </c>
      <c r="C10" s="9"/>
      <c r="D10" s="11"/>
      <c r="E10" s="11"/>
      <c r="H10" s="59">
        <f>4274821.25+348965</f>
        <v>4623786.25</v>
      </c>
      <c r="J10" s="1">
        <f t="shared" si="0"/>
        <v>4623786.25</v>
      </c>
      <c r="K10" s="51" t="s">
        <v>130</v>
      </c>
      <c r="L10" s="1">
        <v>-4274821.25</v>
      </c>
      <c r="M10" s="1">
        <f t="shared" si="1"/>
        <v>348965</v>
      </c>
    </row>
    <row r="11" spans="1:15" x14ac:dyDescent="0.4">
      <c r="A11" s="9"/>
      <c r="B11" s="9" t="s">
        <v>76</v>
      </c>
      <c r="C11" s="9"/>
      <c r="D11" s="11">
        <v>90000</v>
      </c>
      <c r="E11" s="11"/>
      <c r="H11" s="1">
        <v>0</v>
      </c>
      <c r="J11" s="1">
        <f t="shared" si="0"/>
        <v>90000</v>
      </c>
      <c r="K11" s="55" t="s">
        <v>85</v>
      </c>
      <c r="L11" s="1">
        <v>-90000</v>
      </c>
      <c r="M11" s="1">
        <f t="shared" si="1"/>
        <v>0</v>
      </c>
    </row>
    <row r="12" spans="1:15" x14ac:dyDescent="0.4">
      <c r="A12" s="9"/>
      <c r="B12" s="9" t="s">
        <v>77</v>
      </c>
      <c r="C12" s="9"/>
      <c r="D12" s="11">
        <v>150000</v>
      </c>
      <c r="E12" s="1"/>
      <c r="H12" s="1">
        <v>0</v>
      </c>
      <c r="J12" s="1">
        <f t="shared" si="0"/>
        <v>150000</v>
      </c>
      <c r="M12" s="1">
        <f t="shared" si="1"/>
        <v>150000</v>
      </c>
    </row>
    <row r="13" spans="1:15" x14ac:dyDescent="0.4">
      <c r="A13" s="9"/>
      <c r="B13" s="9" t="s">
        <v>32</v>
      </c>
      <c r="C13" s="9"/>
      <c r="D13" s="11">
        <v>0</v>
      </c>
      <c r="E13" s="11"/>
      <c r="F13" s="2"/>
      <c r="H13" s="1">
        <v>0</v>
      </c>
      <c r="J13" s="1">
        <f t="shared" si="0"/>
        <v>0</v>
      </c>
      <c r="M13" s="1">
        <f t="shared" si="1"/>
        <v>0</v>
      </c>
    </row>
    <row r="14" spans="1:15" x14ac:dyDescent="0.4">
      <c r="A14" s="9"/>
      <c r="B14" s="9" t="s">
        <v>44</v>
      </c>
      <c r="C14" s="9"/>
      <c r="D14" s="11"/>
      <c r="E14" s="11"/>
      <c r="F14" s="2"/>
      <c r="H14" s="1">
        <v>0</v>
      </c>
      <c r="J14" s="1">
        <f t="shared" si="0"/>
        <v>0</v>
      </c>
      <c r="M14" s="1">
        <f t="shared" si="1"/>
        <v>0</v>
      </c>
    </row>
    <row r="15" spans="1:15" x14ac:dyDescent="0.4">
      <c r="A15" s="9"/>
      <c r="B15" s="9"/>
      <c r="C15" s="9" t="s">
        <v>1</v>
      </c>
      <c r="D15" s="11">
        <v>1345040.03</v>
      </c>
      <c r="E15" s="11">
        <v>25395.599999999999</v>
      </c>
      <c r="F15" s="2"/>
      <c r="H15" s="1">
        <v>63528.73</v>
      </c>
      <c r="J15" s="1">
        <f t="shared" si="0"/>
        <v>1433964.36</v>
      </c>
      <c r="M15" s="1">
        <f t="shared" si="1"/>
        <v>1433964.36</v>
      </c>
      <c r="O15" s="4">
        <f>1433964.36-M15</f>
        <v>0</v>
      </c>
    </row>
    <row r="16" spans="1:15" x14ac:dyDescent="0.4">
      <c r="A16" s="9"/>
      <c r="B16" s="9"/>
      <c r="C16" s="9" t="s">
        <v>28</v>
      </c>
      <c r="D16" s="11">
        <v>485562.25</v>
      </c>
      <c r="E16" s="11">
        <f>114906.28-92587.07</f>
        <v>22319.209999999992</v>
      </c>
      <c r="F16" s="2">
        <v>6340.21</v>
      </c>
      <c r="G16" s="2">
        <v>11953.42</v>
      </c>
      <c r="H16" s="1">
        <v>0</v>
      </c>
      <c r="J16" s="1">
        <f t="shared" si="0"/>
        <v>526175.09</v>
      </c>
      <c r="M16" s="1">
        <f t="shared" si="1"/>
        <v>526175.09</v>
      </c>
    </row>
    <row r="17" spans="1:15" x14ac:dyDescent="0.4">
      <c r="A17" s="9"/>
      <c r="B17" s="9"/>
      <c r="C17" s="9" t="s">
        <v>10</v>
      </c>
      <c r="D17" s="11"/>
      <c r="E17" s="11">
        <v>15664.65</v>
      </c>
      <c r="F17" s="2">
        <v>47620.07</v>
      </c>
      <c r="G17" s="2">
        <v>1929.28</v>
      </c>
      <c r="H17" s="1">
        <v>0</v>
      </c>
      <c r="J17" s="1">
        <f t="shared" si="0"/>
        <v>65214</v>
      </c>
      <c r="M17" s="1">
        <f t="shared" si="1"/>
        <v>65214</v>
      </c>
    </row>
    <row r="18" spans="1:15" x14ac:dyDescent="0.4">
      <c r="A18" s="9"/>
      <c r="B18" s="9"/>
      <c r="C18" s="9" t="s">
        <v>43</v>
      </c>
      <c r="D18" s="11">
        <f>529964.28-D16</f>
        <v>44402.030000000028</v>
      </c>
      <c r="E18" s="11">
        <f>640872.49-E15-E26-150730.5</f>
        <v>12292.48000000004</v>
      </c>
      <c r="F18" s="1">
        <f>55082.67-39.15</f>
        <v>55043.519999999997</v>
      </c>
      <c r="G18" s="2">
        <f>69260.12-G16-G26</f>
        <v>57245.56</v>
      </c>
      <c r="H18" s="1">
        <v>0</v>
      </c>
      <c r="J18" s="1">
        <f t="shared" si="0"/>
        <v>168983.59000000005</v>
      </c>
      <c r="L18" s="72">
        <v>615.72</v>
      </c>
      <c r="M18" s="1">
        <f t="shared" si="1"/>
        <v>169599.31000000006</v>
      </c>
      <c r="O18" s="4">
        <f>+M18+M17+M16-760988.4</f>
        <v>0</v>
      </c>
    </row>
    <row r="19" spans="1:15" x14ac:dyDescent="0.4">
      <c r="A19" s="9"/>
      <c r="B19" s="9"/>
      <c r="C19" s="9" t="s">
        <v>18</v>
      </c>
      <c r="D19" s="16">
        <f t="shared" ref="D19:J19" si="2">SUM(D6:D18)</f>
        <v>370671695.53999996</v>
      </c>
      <c r="E19" s="16">
        <f t="shared" si="2"/>
        <v>19281423.650000002</v>
      </c>
      <c r="F19" s="16">
        <f t="shared" si="2"/>
        <v>109686.79999999999</v>
      </c>
      <c r="G19" s="16">
        <f t="shared" si="2"/>
        <v>72381.78</v>
      </c>
      <c r="H19" s="16">
        <f t="shared" si="2"/>
        <v>8758347.5</v>
      </c>
      <c r="I19" s="16">
        <f t="shared" si="2"/>
        <v>1144397.81</v>
      </c>
      <c r="J19" s="16">
        <f t="shared" si="2"/>
        <v>400037933.07999998</v>
      </c>
      <c r="K19" s="53"/>
      <c r="L19" s="17"/>
      <c r="M19" s="16">
        <f>SUM(M6:M18)</f>
        <v>391037675.44</v>
      </c>
    </row>
    <row r="20" spans="1:15" x14ac:dyDescent="0.4">
      <c r="A20" s="9" t="s">
        <v>45</v>
      </c>
      <c r="B20" s="9"/>
      <c r="C20" s="9"/>
      <c r="D20" s="11"/>
      <c r="E20" s="11"/>
      <c r="K20" s="55"/>
    </row>
    <row r="21" spans="1:15" x14ac:dyDescent="0.4">
      <c r="A21" s="9"/>
      <c r="B21" s="9" t="s">
        <v>54</v>
      </c>
      <c r="C21" s="9"/>
      <c r="D21" s="43">
        <v>56419678</v>
      </c>
      <c r="E21" s="11"/>
      <c r="H21" s="1">
        <v>0</v>
      </c>
      <c r="J21" s="1">
        <f t="shared" ref="J21:J27" si="3">+I21+H21+G21+F21+E21+D21</f>
        <v>56419678</v>
      </c>
      <c r="K21" s="55" t="s">
        <v>87</v>
      </c>
      <c r="L21" s="1">
        <v>-56419678</v>
      </c>
      <c r="M21" s="1">
        <f>+J21+L21</f>
        <v>0</v>
      </c>
    </row>
    <row r="22" spans="1:15" x14ac:dyDescent="0.4">
      <c r="A22" s="9"/>
      <c r="B22" s="9" t="s">
        <v>112</v>
      </c>
      <c r="C22" s="9"/>
      <c r="D22" s="43">
        <v>-22681399.34</v>
      </c>
      <c r="E22" s="11"/>
      <c r="J22" s="1">
        <f t="shared" si="3"/>
        <v>-22681399.34</v>
      </c>
      <c r="K22" s="55" t="s">
        <v>109</v>
      </c>
      <c r="L22" s="1">
        <v>22681399.34</v>
      </c>
      <c r="M22" s="1">
        <f>+J22+L22</f>
        <v>0</v>
      </c>
    </row>
    <row r="23" spans="1:15" x14ac:dyDescent="0.4">
      <c r="A23" s="9"/>
      <c r="B23" s="9" t="s">
        <v>55</v>
      </c>
      <c r="C23" s="9"/>
      <c r="D23" s="11">
        <v>5315259</v>
      </c>
      <c r="E23" s="11"/>
      <c r="G23" s="2">
        <v>24900100</v>
      </c>
      <c r="H23" s="1">
        <v>0</v>
      </c>
      <c r="J23" s="1">
        <f t="shared" si="3"/>
        <v>30215359</v>
      </c>
      <c r="M23" s="1">
        <f t="shared" si="1"/>
        <v>30215359</v>
      </c>
    </row>
    <row r="24" spans="1:15" x14ac:dyDescent="0.4">
      <c r="A24" s="9"/>
      <c r="B24" s="9" t="s">
        <v>81</v>
      </c>
      <c r="C24" s="9"/>
      <c r="D24" s="5">
        <v>4125330.22</v>
      </c>
      <c r="E24" s="11">
        <v>4036.43</v>
      </c>
      <c r="F24" s="1">
        <v>137242.54</v>
      </c>
      <c r="H24" s="1">
        <v>0</v>
      </c>
      <c r="J24" s="1">
        <f t="shared" si="3"/>
        <v>4266609.1900000004</v>
      </c>
      <c r="M24" s="1">
        <f>+J24+L24</f>
        <v>4266609.1900000004</v>
      </c>
    </row>
    <row r="25" spans="1:15" x14ac:dyDescent="0.4">
      <c r="A25" s="9"/>
      <c r="B25" s="9" t="s">
        <v>46</v>
      </c>
      <c r="C25" s="9"/>
      <c r="D25" s="11"/>
      <c r="E25" s="11"/>
      <c r="H25" s="1">
        <v>0</v>
      </c>
      <c r="J25" s="1">
        <f t="shared" si="3"/>
        <v>0</v>
      </c>
      <c r="M25" s="1">
        <f t="shared" si="1"/>
        <v>0</v>
      </c>
    </row>
    <row r="26" spans="1:15" x14ac:dyDescent="0.4">
      <c r="A26" s="9"/>
      <c r="B26" s="9"/>
      <c r="C26" s="9" t="s">
        <v>31</v>
      </c>
      <c r="D26" s="11">
        <f>1301692.81+0.01</f>
        <v>1301692.82</v>
      </c>
      <c r="E26" s="11">
        <v>452453.91</v>
      </c>
      <c r="F26" s="2">
        <v>39.15</v>
      </c>
      <c r="G26" s="2">
        <v>61.14</v>
      </c>
      <c r="H26" s="1">
        <v>0</v>
      </c>
      <c r="J26" s="1">
        <f t="shared" si="3"/>
        <v>1754247.02</v>
      </c>
      <c r="M26" s="1">
        <f t="shared" si="1"/>
        <v>1754247.02</v>
      </c>
      <c r="O26" s="4">
        <f>1754247.02-M26</f>
        <v>0</v>
      </c>
    </row>
    <row r="27" spans="1:15" x14ac:dyDescent="0.4">
      <c r="A27" s="9"/>
      <c r="B27" s="9"/>
      <c r="C27" s="9" t="s">
        <v>80</v>
      </c>
      <c r="D27" s="5">
        <v>1494433.31</v>
      </c>
      <c r="E27" s="11">
        <v>0</v>
      </c>
      <c r="H27" s="1">
        <v>0</v>
      </c>
      <c r="J27" s="1">
        <f t="shared" si="3"/>
        <v>1494433.31</v>
      </c>
      <c r="M27" s="1">
        <f t="shared" si="1"/>
        <v>1494433.31</v>
      </c>
    </row>
    <row r="28" spans="1:15" x14ac:dyDescent="0.4">
      <c r="A28" s="9"/>
      <c r="B28" s="9"/>
      <c r="C28" s="9" t="s">
        <v>19</v>
      </c>
      <c r="D28" s="16">
        <f t="shared" ref="D28:J28" si="4">SUM(D21:D27)</f>
        <v>45974994.009999998</v>
      </c>
      <c r="E28" s="16">
        <f t="shared" si="4"/>
        <v>456490.33999999997</v>
      </c>
      <c r="F28" s="16">
        <f t="shared" si="4"/>
        <v>137281.69</v>
      </c>
      <c r="G28" s="16">
        <f t="shared" si="4"/>
        <v>24900161.140000001</v>
      </c>
      <c r="H28" s="16">
        <f t="shared" si="4"/>
        <v>0</v>
      </c>
      <c r="I28" s="16">
        <f t="shared" si="4"/>
        <v>0</v>
      </c>
      <c r="J28" s="16">
        <f t="shared" si="4"/>
        <v>71468927.179999992</v>
      </c>
      <c r="M28" s="16">
        <f>SUM(M21:M27)</f>
        <v>37730648.520000003</v>
      </c>
    </row>
    <row r="29" spans="1:15" ht="18.75" thickBot="1" x14ac:dyDescent="0.45">
      <c r="A29" s="9" t="s">
        <v>47</v>
      </c>
      <c r="B29" s="9"/>
      <c r="C29" s="9"/>
      <c r="D29" s="19">
        <f t="shared" ref="D29:J29" si="5">+D28+D19</f>
        <v>416646689.54999995</v>
      </c>
      <c r="E29" s="19">
        <f t="shared" si="5"/>
        <v>19737913.990000002</v>
      </c>
      <c r="F29" s="19">
        <f t="shared" si="5"/>
        <v>246968.49</v>
      </c>
      <c r="G29" s="19">
        <f t="shared" si="5"/>
        <v>24972542.920000002</v>
      </c>
      <c r="H29" s="19">
        <f t="shared" si="5"/>
        <v>8758347.5</v>
      </c>
      <c r="I29" s="19">
        <f t="shared" si="5"/>
        <v>1144397.81</v>
      </c>
      <c r="J29" s="19">
        <f t="shared" si="5"/>
        <v>471506860.25999999</v>
      </c>
      <c r="M29" s="19">
        <f>+M28+M19</f>
        <v>428768323.95999998</v>
      </c>
    </row>
    <row r="30" spans="1:15" ht="18.75" thickTop="1" x14ac:dyDescent="0.4">
      <c r="A30" s="9" t="s">
        <v>48</v>
      </c>
      <c r="B30" s="9"/>
      <c r="C30" s="9"/>
      <c r="D30" s="11"/>
      <c r="E30" s="11"/>
    </row>
    <row r="31" spans="1:15" x14ac:dyDescent="0.4">
      <c r="A31" s="9"/>
      <c r="B31" s="9" t="s">
        <v>78</v>
      </c>
      <c r="C31" s="9"/>
      <c r="D31" s="11"/>
      <c r="E31" s="11"/>
      <c r="J31" s="1">
        <f t="shared" ref="J31:J39" si="6">+I31+H31+G31+F31+E31+D31</f>
        <v>0</v>
      </c>
      <c r="M31" s="1">
        <f t="shared" si="1"/>
        <v>0</v>
      </c>
    </row>
    <row r="32" spans="1:15" x14ac:dyDescent="0.4">
      <c r="A32" s="9"/>
      <c r="B32" s="9" t="s">
        <v>82</v>
      </c>
      <c r="C32" s="9"/>
      <c r="D32" s="11"/>
      <c r="E32" s="65">
        <v>-85088.98</v>
      </c>
      <c r="F32" s="59">
        <v>-2456075.3199999998</v>
      </c>
      <c r="G32" s="66">
        <v>-2094887.81</v>
      </c>
      <c r="J32" s="1">
        <f t="shared" si="6"/>
        <v>-4636052.1100000003</v>
      </c>
      <c r="L32" s="1">
        <v>4636052.1100000003</v>
      </c>
      <c r="M32" s="1">
        <f t="shared" si="1"/>
        <v>0</v>
      </c>
    </row>
    <row r="33" spans="1:15" x14ac:dyDescent="0.4">
      <c r="A33" s="9"/>
      <c r="B33" s="9" t="s">
        <v>83</v>
      </c>
      <c r="C33" s="9"/>
      <c r="D33" s="11"/>
      <c r="E33" s="11"/>
      <c r="J33" s="1">
        <f t="shared" si="6"/>
        <v>0</v>
      </c>
      <c r="M33" s="1">
        <f t="shared" si="1"/>
        <v>0</v>
      </c>
    </row>
    <row r="34" spans="1:15" x14ac:dyDescent="0.4">
      <c r="A34" s="9"/>
      <c r="B34" s="9" t="s">
        <v>49</v>
      </c>
      <c r="C34" s="9"/>
      <c r="D34" s="11"/>
      <c r="E34" s="11"/>
      <c r="J34" s="1">
        <f t="shared" si="6"/>
        <v>0</v>
      </c>
      <c r="M34" s="1">
        <f t="shared" si="1"/>
        <v>0</v>
      </c>
    </row>
    <row r="35" spans="1:15" x14ac:dyDescent="0.4">
      <c r="A35" s="9"/>
      <c r="B35" s="9"/>
      <c r="C35" s="9" t="s">
        <v>88</v>
      </c>
      <c r="D35" s="11">
        <v>-7229144</v>
      </c>
      <c r="E35" s="11"/>
      <c r="J35" s="1">
        <f t="shared" si="6"/>
        <v>-7229144</v>
      </c>
      <c r="M35" s="1">
        <f t="shared" si="1"/>
        <v>-7229144</v>
      </c>
    </row>
    <row r="36" spans="1:15" x14ac:dyDescent="0.4">
      <c r="A36" s="9"/>
      <c r="B36" s="9"/>
      <c r="C36" s="9" t="s">
        <v>11</v>
      </c>
      <c r="D36" s="11">
        <v>-2880868.96</v>
      </c>
      <c r="E36" s="11">
        <f>-371365.7-1002625+92587.07-27500</f>
        <v>-1308903.6299999999</v>
      </c>
      <c r="F36" s="1">
        <f>-401885-27500</f>
        <v>-429385</v>
      </c>
      <c r="G36" s="2">
        <v>-27500</v>
      </c>
      <c r="J36" s="1">
        <f>+I36+H36+G36+F36+E36+D36</f>
        <v>-4646657.59</v>
      </c>
      <c r="K36" s="55" t="s">
        <v>85</v>
      </c>
      <c r="L36" s="1">
        <v>90000</v>
      </c>
      <c r="M36" s="1">
        <f t="shared" si="1"/>
        <v>-4556657.59</v>
      </c>
    </row>
    <row r="37" spans="1:15" x14ac:dyDescent="0.4">
      <c r="A37" s="9"/>
      <c r="B37" s="9"/>
      <c r="C37" s="9" t="s">
        <v>26</v>
      </c>
      <c r="D37" s="11"/>
      <c r="E37" s="11">
        <v>0</v>
      </c>
      <c r="F37" s="1">
        <v>0</v>
      </c>
      <c r="G37" s="2">
        <v>0</v>
      </c>
      <c r="J37" s="1">
        <f t="shared" si="6"/>
        <v>0</v>
      </c>
      <c r="M37" s="1">
        <f t="shared" si="1"/>
        <v>0</v>
      </c>
    </row>
    <row r="38" spans="1:15" x14ac:dyDescent="0.4">
      <c r="A38" s="9"/>
      <c r="B38" s="9"/>
      <c r="C38" s="9" t="s">
        <v>12</v>
      </c>
      <c r="D38" s="11">
        <f>-13204842.35-0.01</f>
        <v>-13204842.359999999</v>
      </c>
      <c r="E38" s="11">
        <f>-4614429.72+150730.5--300787.5</f>
        <v>-4162911.7199999997</v>
      </c>
      <c r="F38" s="1">
        <v>0</v>
      </c>
      <c r="G38" s="2">
        <v>0</v>
      </c>
      <c r="J38" s="1">
        <f t="shared" si="6"/>
        <v>-17367754.079999998</v>
      </c>
      <c r="M38" s="1">
        <f t="shared" si="1"/>
        <v>-17367754.079999998</v>
      </c>
    </row>
    <row r="39" spans="1:15" x14ac:dyDescent="0.4">
      <c r="A39" s="9"/>
      <c r="B39" s="9"/>
      <c r="C39" s="9" t="s">
        <v>43</v>
      </c>
      <c r="D39" s="5">
        <v>-5637669.7599999998</v>
      </c>
      <c r="E39" s="11">
        <f>-248483.58+85088.98+27500</f>
        <v>-135894.59999999998</v>
      </c>
      <c r="F39" s="1">
        <f>-2598354.17+2456075.32+27500</f>
        <v>-114778.85000000009</v>
      </c>
      <c r="G39" s="2">
        <f>-2217170.09+2094887.81+27500</f>
        <v>-94782.279999999795</v>
      </c>
      <c r="J39" s="1">
        <f t="shared" si="6"/>
        <v>-5983125.4899999993</v>
      </c>
      <c r="M39" s="1">
        <f t="shared" si="1"/>
        <v>-5983125.4899999993</v>
      </c>
      <c r="O39" s="4">
        <f>5983125.49+M39</f>
        <v>0</v>
      </c>
    </row>
    <row r="40" spans="1:15" x14ac:dyDescent="0.4">
      <c r="A40" s="9"/>
      <c r="B40" s="9"/>
      <c r="C40" s="9" t="s">
        <v>20</v>
      </c>
      <c r="D40" s="16">
        <f>SUM(D31:D39)</f>
        <v>-28952525.079999998</v>
      </c>
      <c r="E40" s="16">
        <f>SUM(E31:E39)</f>
        <v>-5692798.9299999997</v>
      </c>
      <c r="F40" s="16">
        <f t="shared" ref="F40:M40" si="7">SUM(F31:F39)</f>
        <v>-3000239.17</v>
      </c>
      <c r="G40" s="16">
        <f t="shared" si="7"/>
        <v>-2217170.09</v>
      </c>
      <c r="H40" s="16">
        <f t="shared" si="7"/>
        <v>0</v>
      </c>
      <c r="I40" s="16">
        <f t="shared" si="7"/>
        <v>0</v>
      </c>
      <c r="J40" s="16">
        <f t="shared" si="7"/>
        <v>-39862733.270000003</v>
      </c>
      <c r="L40" s="17"/>
      <c r="M40" s="16">
        <f t="shared" si="7"/>
        <v>-35136681.159999996</v>
      </c>
    </row>
    <row r="41" spans="1:15" x14ac:dyDescent="0.4">
      <c r="A41" s="9" t="s">
        <v>50</v>
      </c>
      <c r="B41" s="9"/>
      <c r="C41" s="9"/>
      <c r="D41" s="11"/>
      <c r="E41" s="11"/>
    </row>
    <row r="42" spans="1:15" x14ac:dyDescent="0.4">
      <c r="A42" s="9"/>
      <c r="B42" s="9" t="s">
        <v>0</v>
      </c>
      <c r="C42" s="9"/>
      <c r="D42" s="11"/>
      <c r="E42" s="1"/>
      <c r="H42" s="1">
        <v>0</v>
      </c>
      <c r="J42" s="1">
        <f>+I42+H42+G42+F42+E42+D42</f>
        <v>0</v>
      </c>
      <c r="M42" s="1">
        <f t="shared" si="1"/>
        <v>0</v>
      </c>
    </row>
    <row r="43" spans="1:15" x14ac:dyDescent="0.4">
      <c r="A43" s="9"/>
      <c r="B43" s="9"/>
      <c r="C43" s="9" t="s">
        <v>43</v>
      </c>
      <c r="D43" s="43">
        <v>-1662591.75</v>
      </c>
      <c r="E43" s="11"/>
      <c r="H43" s="1">
        <v>0</v>
      </c>
      <c r="J43" s="1">
        <f>+I43+H43+G43+F43+E43+D43</f>
        <v>-1662591.75</v>
      </c>
      <c r="K43" s="55" t="s">
        <v>110</v>
      </c>
      <c r="L43" s="1">
        <v>1662591.75</v>
      </c>
      <c r="M43" s="59">
        <f t="shared" si="1"/>
        <v>0</v>
      </c>
    </row>
    <row r="44" spans="1:15" x14ac:dyDescent="0.4">
      <c r="A44" s="9"/>
      <c r="B44" s="9"/>
      <c r="C44" s="9" t="s">
        <v>21</v>
      </c>
      <c r="D44" s="16">
        <f t="shared" ref="D44:J44" si="8">SUM(D42:D43)</f>
        <v>-1662591.75</v>
      </c>
      <c r="E44" s="16">
        <f t="shared" si="8"/>
        <v>0</v>
      </c>
      <c r="F44" s="16">
        <f t="shared" si="8"/>
        <v>0</v>
      </c>
      <c r="G44" s="16">
        <f t="shared" si="8"/>
        <v>0</v>
      </c>
      <c r="H44" s="16">
        <f t="shared" si="8"/>
        <v>0</v>
      </c>
      <c r="I44" s="16">
        <f t="shared" si="8"/>
        <v>0</v>
      </c>
      <c r="J44" s="16">
        <f t="shared" si="8"/>
        <v>-1662591.75</v>
      </c>
      <c r="M44" s="16">
        <f>SUM(M42:M43)</f>
        <v>0</v>
      </c>
    </row>
    <row r="45" spans="1:15" ht="18.75" thickBot="1" x14ac:dyDescent="0.45">
      <c r="A45" s="9"/>
      <c r="B45" s="9"/>
      <c r="C45" s="9" t="s">
        <v>22</v>
      </c>
      <c r="D45" s="19">
        <f t="shared" ref="D45:J45" si="9">+D44+D40</f>
        <v>-30615116.829999998</v>
      </c>
      <c r="E45" s="19">
        <f t="shared" si="9"/>
        <v>-5692798.9299999997</v>
      </c>
      <c r="F45" s="19">
        <f t="shared" si="9"/>
        <v>-3000239.17</v>
      </c>
      <c r="G45" s="19">
        <f t="shared" si="9"/>
        <v>-2217170.09</v>
      </c>
      <c r="H45" s="19">
        <f t="shared" si="9"/>
        <v>0</v>
      </c>
      <c r="I45" s="19">
        <f t="shared" si="9"/>
        <v>0</v>
      </c>
      <c r="J45" s="19">
        <f t="shared" si="9"/>
        <v>-41525325.020000003</v>
      </c>
      <c r="M45" s="19">
        <f>+M44+M40</f>
        <v>-35136681.159999996</v>
      </c>
    </row>
    <row r="46" spans="1:15" ht="18.75" thickTop="1" x14ac:dyDescent="0.4">
      <c r="A46" s="9" t="s">
        <v>51</v>
      </c>
      <c r="B46" s="9"/>
      <c r="C46" s="9"/>
      <c r="D46" s="11"/>
      <c r="E46" s="11"/>
    </row>
    <row r="47" spans="1:15" x14ac:dyDescent="0.4">
      <c r="A47" s="9"/>
      <c r="B47" s="9" t="s">
        <v>68</v>
      </c>
      <c r="C47" s="37"/>
      <c r="D47" s="11">
        <v>-362267781.5</v>
      </c>
      <c r="E47" s="11">
        <v>-4250000</v>
      </c>
      <c r="F47" s="1">
        <v>-10000000</v>
      </c>
      <c r="G47" s="2">
        <v>-42940000</v>
      </c>
      <c r="H47" s="1">
        <v>-8830000</v>
      </c>
      <c r="I47" s="1">
        <v>-912000</v>
      </c>
      <c r="J47" s="1">
        <f t="shared" ref="J47:J58" si="10">+I47+H47+G47+F47+E47+D47</f>
        <v>-429199781.5</v>
      </c>
      <c r="K47" s="55" t="s">
        <v>87</v>
      </c>
      <c r="L47" s="1">
        <v>56419678</v>
      </c>
      <c r="M47" s="1">
        <f>+L47+J47+L48</f>
        <v>-362267781.5</v>
      </c>
    </row>
    <row r="48" spans="1:15" x14ac:dyDescent="0.4">
      <c r="A48" s="9"/>
      <c r="B48" s="9" t="s">
        <v>23</v>
      </c>
      <c r="C48" s="34"/>
      <c r="D48" s="11"/>
      <c r="E48" s="11"/>
      <c r="J48" s="1">
        <f t="shared" si="10"/>
        <v>0</v>
      </c>
      <c r="K48" s="55" t="s">
        <v>111</v>
      </c>
      <c r="L48" s="1">
        <f>425+5001000+4294+4326700+1179903</f>
        <v>10512322</v>
      </c>
    </row>
    <row r="49" spans="1:16" x14ac:dyDescent="0.4">
      <c r="A49" s="9"/>
      <c r="B49" s="9" t="s">
        <v>56</v>
      </c>
      <c r="C49" s="34"/>
      <c r="D49" s="11">
        <f>-28397546.2+67118444.17</f>
        <v>38720897.969999999</v>
      </c>
      <c r="E49" s="11"/>
      <c r="J49" s="1">
        <f t="shared" si="10"/>
        <v>38720897.969999999</v>
      </c>
      <c r="M49" s="1">
        <f t="shared" si="1"/>
        <v>38720897.969999999</v>
      </c>
    </row>
    <row r="50" spans="1:16" x14ac:dyDescent="0.4">
      <c r="A50" s="9"/>
      <c r="B50" s="9" t="s">
        <v>57</v>
      </c>
      <c r="C50" s="34"/>
      <c r="D50" s="11"/>
      <c r="E50" s="11"/>
      <c r="H50" s="1">
        <v>111655.85</v>
      </c>
      <c r="I50" s="1">
        <v>38737.33</v>
      </c>
      <c r="J50" s="1">
        <f t="shared" si="10"/>
        <v>150393.18</v>
      </c>
      <c r="M50" s="1">
        <f t="shared" si="1"/>
        <v>150393.18</v>
      </c>
      <c r="O50" s="4">
        <v>228793.18</v>
      </c>
      <c r="P50" s="4">
        <f>+O50-M50</f>
        <v>78400</v>
      </c>
    </row>
    <row r="51" spans="1:16" x14ac:dyDescent="0.4">
      <c r="A51" s="9"/>
      <c r="B51" s="9" t="s">
        <v>108</v>
      </c>
      <c r="C51" s="34"/>
      <c r="D51" s="43">
        <f>-22681399.34+23463363.08</f>
        <v>781963.73999999836</v>
      </c>
      <c r="E51" s="11"/>
      <c r="J51" s="1">
        <f t="shared" si="10"/>
        <v>781963.73999999836</v>
      </c>
      <c r="K51" s="62" t="s">
        <v>109</v>
      </c>
      <c r="L51" s="61">
        <f>-1250375-21431024.34</f>
        <v>-22681399.34</v>
      </c>
      <c r="M51" s="60">
        <f>+J51+L51+L52+L53</f>
        <v>0</v>
      </c>
    </row>
    <row r="52" spans="1:16" x14ac:dyDescent="0.4">
      <c r="A52" s="9"/>
      <c r="B52" s="9"/>
      <c r="C52" s="34"/>
      <c r="D52" s="11"/>
      <c r="E52" s="11"/>
      <c r="K52" s="67" t="s">
        <v>110</v>
      </c>
      <c r="L52" s="68"/>
    </row>
    <row r="53" spans="1:16" x14ac:dyDescent="0.4">
      <c r="A53" s="9"/>
      <c r="B53" s="9"/>
      <c r="C53" s="34"/>
      <c r="D53" s="11"/>
      <c r="E53" s="11"/>
      <c r="K53" s="63" t="s">
        <v>114</v>
      </c>
      <c r="L53" s="64">
        <v>21899435.600000001</v>
      </c>
    </row>
    <row r="54" spans="1:16" x14ac:dyDescent="0.4">
      <c r="A54" s="9"/>
      <c r="B54" s="9" t="s">
        <v>58</v>
      </c>
      <c r="C54" s="9"/>
      <c r="D54" s="11"/>
      <c r="E54" s="11"/>
      <c r="J54" s="1">
        <f t="shared" si="10"/>
        <v>0</v>
      </c>
      <c r="M54" s="1">
        <f t="shared" si="1"/>
        <v>0</v>
      </c>
    </row>
    <row r="55" spans="1:16" x14ac:dyDescent="0.4">
      <c r="A55" s="9"/>
      <c r="B55" s="9"/>
      <c r="C55" s="9" t="s">
        <v>35</v>
      </c>
      <c r="D55" s="12">
        <v>-2962180.66</v>
      </c>
      <c r="E55" s="12"/>
      <c r="J55" s="1">
        <f t="shared" si="10"/>
        <v>-2962180.66</v>
      </c>
      <c r="M55" s="1">
        <f t="shared" si="1"/>
        <v>-2962180.66</v>
      </c>
    </row>
    <row r="56" spans="1:16" x14ac:dyDescent="0.4">
      <c r="A56" s="9"/>
      <c r="B56" s="9"/>
      <c r="C56" s="9" t="s">
        <v>116</v>
      </c>
      <c r="D56" s="73">
        <f>+D89</f>
        <v>-4023039.7100000009</v>
      </c>
      <c r="E56" s="12">
        <f>+E89</f>
        <v>-9262083.7899999991</v>
      </c>
      <c r="F56" s="12">
        <f>+F89</f>
        <v>1090678.93</v>
      </c>
      <c r="G56" s="12">
        <f>+G89</f>
        <v>1566605.83</v>
      </c>
      <c r="H56" s="12">
        <f>H89</f>
        <v>-40003.350000000006</v>
      </c>
      <c r="I56" s="12">
        <f>+I89</f>
        <v>-271135.14</v>
      </c>
      <c r="J56" s="60">
        <f t="shared" si="10"/>
        <v>-10938977.23</v>
      </c>
      <c r="K56" s="51" t="s">
        <v>124</v>
      </c>
      <c r="L56" s="1">
        <f>+L89</f>
        <v>-525007.16</v>
      </c>
      <c r="M56" s="76">
        <f>+L56+J56</f>
        <v>-11463984.390000001</v>
      </c>
    </row>
    <row r="57" spans="1:16" x14ac:dyDescent="0.4">
      <c r="A57" s="9"/>
      <c r="B57" s="9"/>
      <c r="C57" s="9"/>
      <c r="D57" s="12"/>
      <c r="E57" s="12"/>
      <c r="F57" s="12"/>
      <c r="G57" s="12"/>
      <c r="H57" s="12"/>
      <c r="I57" s="56"/>
      <c r="K57" s="62" t="s">
        <v>114</v>
      </c>
      <c r="L57" s="57">
        <f>-(+E58+F58+G58+H58+I58)</f>
        <v>-29747581.820000004</v>
      </c>
    </row>
    <row r="58" spans="1:16" x14ac:dyDescent="0.4">
      <c r="A58" s="9"/>
      <c r="B58" s="9"/>
      <c r="C58" s="9" t="s">
        <v>115</v>
      </c>
      <c r="D58" s="74">
        <v>-56281432.560000002</v>
      </c>
      <c r="E58" s="22">
        <f>-533031.27</f>
        <v>-533031.27</v>
      </c>
      <c r="F58" s="46">
        <f>11662591.75</f>
        <v>11662591.75</v>
      </c>
      <c r="G58" s="50">
        <f>20184627.17-G56</f>
        <v>18618021.340000004</v>
      </c>
      <c r="H58" s="46">
        <v>0</v>
      </c>
      <c r="I58" s="46">
        <v>0</v>
      </c>
      <c r="J58" s="60">
        <f t="shared" si="10"/>
        <v>-26533850.739999998</v>
      </c>
      <c r="L58" s="29"/>
      <c r="M58" s="75">
        <f>+L58+J58+L57</f>
        <v>-56281432.560000002</v>
      </c>
    </row>
    <row r="59" spans="1:16" x14ac:dyDescent="0.4">
      <c r="A59" s="9"/>
      <c r="B59" s="9"/>
      <c r="C59" s="9" t="s">
        <v>36</v>
      </c>
      <c r="D59" s="11">
        <f>SUM(D47:D58)</f>
        <v>-386031572.71999997</v>
      </c>
      <c r="E59" s="11">
        <f t="shared" ref="E59:J59" si="11">SUM(E47:E58)</f>
        <v>-14045115.059999999</v>
      </c>
      <c r="F59" s="11">
        <f t="shared" si="11"/>
        <v>2753270.6799999997</v>
      </c>
      <c r="G59" s="11">
        <f t="shared" si="11"/>
        <v>-22755372.829999998</v>
      </c>
      <c r="H59" s="11">
        <f t="shared" si="11"/>
        <v>-8758347.5</v>
      </c>
      <c r="I59" s="11">
        <f t="shared" si="11"/>
        <v>-1144397.81</v>
      </c>
      <c r="J59" s="11">
        <f t="shared" si="11"/>
        <v>-429981535.24000001</v>
      </c>
      <c r="M59" s="11">
        <f>SUM(M47:M58)</f>
        <v>-394104087.95999998</v>
      </c>
    </row>
    <row r="60" spans="1:16" x14ac:dyDescent="0.4">
      <c r="A60" s="9"/>
      <c r="B60" s="9" t="s">
        <v>2</v>
      </c>
      <c r="C60" s="9"/>
      <c r="D60" s="17"/>
      <c r="E60" s="17"/>
      <c r="F60" s="17"/>
      <c r="G60" s="17"/>
      <c r="H60" s="17"/>
      <c r="I60" s="17"/>
      <c r="J60" s="17"/>
      <c r="K60" s="55" t="s">
        <v>111</v>
      </c>
      <c r="L60" s="1">
        <f>-L48</f>
        <v>-10512322</v>
      </c>
      <c r="M60" s="1">
        <f>+J60+L60+L61+L65+L64+L63+L62</f>
        <v>472445.15999999968</v>
      </c>
    </row>
    <row r="61" spans="1:16" x14ac:dyDescent="0.4">
      <c r="A61" s="9"/>
      <c r="B61" s="9"/>
      <c r="C61" s="9"/>
      <c r="D61" s="22"/>
      <c r="E61" s="22"/>
      <c r="F61" s="22"/>
      <c r="G61" s="22"/>
      <c r="H61" s="22"/>
      <c r="I61" s="22"/>
      <c r="J61" s="22"/>
      <c r="K61" s="67" t="s">
        <v>117</v>
      </c>
      <c r="L61" s="1">
        <v>7848146.2199999997</v>
      </c>
    </row>
    <row r="62" spans="1:16" x14ac:dyDescent="0.4">
      <c r="A62" s="9"/>
      <c r="B62" s="9"/>
      <c r="C62" s="9"/>
      <c r="D62" s="17"/>
      <c r="E62" s="17"/>
      <c r="F62" s="17"/>
      <c r="G62" s="17"/>
      <c r="H62" s="17"/>
      <c r="I62" s="17"/>
      <c r="J62" s="17"/>
      <c r="K62" s="55" t="str">
        <f>+K43</f>
        <v>5)AJE ประมาณการชาดทุน</v>
      </c>
      <c r="L62" s="1">
        <f>-L43</f>
        <v>-1662591.75</v>
      </c>
    </row>
    <row r="63" spans="1:16" x14ac:dyDescent="0.4">
      <c r="A63" s="9"/>
      <c r="B63" s="9"/>
      <c r="C63" s="9"/>
      <c r="D63" s="17"/>
      <c r="E63" s="17"/>
      <c r="F63" s="17"/>
      <c r="G63" s="17"/>
      <c r="H63" s="17"/>
      <c r="I63" s="17"/>
      <c r="J63" s="17"/>
      <c r="K63" s="51" t="s">
        <v>130</v>
      </c>
      <c r="L63" s="1">
        <f>-L10</f>
        <v>4274821.25</v>
      </c>
    </row>
    <row r="64" spans="1:16" x14ac:dyDescent="0.4">
      <c r="A64" s="9"/>
      <c r="B64" s="9"/>
      <c r="C64" s="9"/>
      <c r="D64" s="17"/>
      <c r="E64" s="17"/>
      <c r="F64" s="17"/>
      <c r="G64" s="17"/>
      <c r="H64" s="17"/>
      <c r="I64" s="17"/>
      <c r="J64" s="17"/>
      <c r="K64" s="67"/>
      <c r="L64" s="1">
        <f>-L18</f>
        <v>-615.72</v>
      </c>
    </row>
    <row r="65" spans="1:15" x14ac:dyDescent="0.4">
      <c r="A65" s="9"/>
      <c r="B65" s="9"/>
      <c r="C65" s="9" t="s">
        <v>24</v>
      </c>
      <c r="D65" s="11">
        <f t="shared" ref="D65:J65" si="12">+D60+D59</f>
        <v>-386031572.71999997</v>
      </c>
      <c r="E65" s="11">
        <f t="shared" si="12"/>
        <v>-14045115.059999999</v>
      </c>
      <c r="F65" s="11">
        <f t="shared" si="12"/>
        <v>2753270.6799999997</v>
      </c>
      <c r="G65" s="11">
        <f t="shared" si="12"/>
        <v>-22755372.829999998</v>
      </c>
      <c r="H65" s="11">
        <f t="shared" si="12"/>
        <v>-8758347.5</v>
      </c>
      <c r="I65" s="11">
        <f t="shared" si="12"/>
        <v>-1144397.81</v>
      </c>
      <c r="J65" s="11">
        <f t="shared" si="12"/>
        <v>-429981535.24000001</v>
      </c>
      <c r="K65" s="58" t="s">
        <v>119</v>
      </c>
      <c r="L65" s="1">
        <f>-L88</f>
        <v>525007.16</v>
      </c>
      <c r="M65" s="11">
        <f>+M60+M59</f>
        <v>-393631642.79999995</v>
      </c>
    </row>
    <row r="66" spans="1:15" ht="18.75" thickBot="1" x14ac:dyDescent="0.45">
      <c r="A66" s="9" t="s">
        <v>38</v>
      </c>
      <c r="B66" s="9"/>
      <c r="C66" s="9"/>
      <c r="D66" s="19">
        <f t="shared" ref="D66:J66" si="13">+D65+D45</f>
        <v>-416646689.54999995</v>
      </c>
      <c r="E66" s="19">
        <f t="shared" si="13"/>
        <v>-19737913.989999998</v>
      </c>
      <c r="F66" s="19">
        <f t="shared" si="13"/>
        <v>-246968.49000000022</v>
      </c>
      <c r="G66" s="19">
        <f t="shared" si="13"/>
        <v>-24972542.919999998</v>
      </c>
      <c r="H66" s="19">
        <f t="shared" si="13"/>
        <v>-8758347.5</v>
      </c>
      <c r="I66" s="19">
        <f t="shared" si="13"/>
        <v>-1144397.81</v>
      </c>
      <c r="J66" s="19">
        <f t="shared" si="13"/>
        <v>-471506860.25999999</v>
      </c>
      <c r="M66" s="19">
        <f>+M65+M45</f>
        <v>-428768323.95999992</v>
      </c>
    </row>
    <row r="67" spans="1:15" ht="18.75" thickTop="1" x14ac:dyDescent="0.4">
      <c r="A67" s="9"/>
      <c r="B67" s="9"/>
      <c r="C67" s="9"/>
      <c r="D67" s="17">
        <f t="shared" ref="D67:J67" si="14">+D66+D29</f>
        <v>0</v>
      </c>
      <c r="E67" s="38">
        <f t="shared" si="14"/>
        <v>0</v>
      </c>
      <c r="F67" s="38">
        <f t="shared" si="14"/>
        <v>-2.3283064365386963E-10</v>
      </c>
      <c r="G67" s="38">
        <f t="shared" si="14"/>
        <v>0</v>
      </c>
      <c r="H67" s="38">
        <f t="shared" si="14"/>
        <v>0</v>
      </c>
      <c r="I67" s="38">
        <f t="shared" si="14"/>
        <v>0</v>
      </c>
      <c r="J67" s="38">
        <f t="shared" si="14"/>
        <v>0</v>
      </c>
      <c r="K67" s="54" t="s">
        <v>79</v>
      </c>
      <c r="L67" s="40">
        <f>SUM(L6:L66)</f>
        <v>0</v>
      </c>
      <c r="M67" s="38">
        <f>+M66+M29</f>
        <v>0</v>
      </c>
    </row>
    <row r="68" spans="1:15" x14ac:dyDescent="0.4">
      <c r="A68" s="9"/>
      <c r="B68" s="9"/>
      <c r="C68" s="10"/>
      <c r="D68" s="10"/>
      <c r="E68" s="10"/>
    </row>
    <row r="69" spans="1:15" ht="18" customHeight="1" x14ac:dyDescent="0.4">
      <c r="A69" s="44" t="s">
        <v>3</v>
      </c>
      <c r="B69" s="44"/>
      <c r="C69" s="44"/>
      <c r="D69" s="44"/>
      <c r="E69" s="44"/>
    </row>
    <row r="70" spans="1:15" x14ac:dyDescent="0.4">
      <c r="A70" s="9" t="s">
        <v>39</v>
      </c>
      <c r="B70" s="9"/>
      <c r="C70" s="9"/>
      <c r="D70" s="11"/>
      <c r="E70" s="11"/>
    </row>
    <row r="71" spans="1:15" x14ac:dyDescent="0.4">
      <c r="A71" s="9"/>
      <c r="B71" s="9" t="s">
        <v>59</v>
      </c>
      <c r="C71" s="9"/>
      <c r="D71" s="17">
        <v>-10893533.35</v>
      </c>
      <c r="E71" s="11">
        <v>-15052500</v>
      </c>
      <c r="F71" s="1">
        <v>0</v>
      </c>
      <c r="G71" s="2">
        <v>0</v>
      </c>
      <c r="H71" s="2">
        <v>0</v>
      </c>
      <c r="I71" s="2">
        <v>-300000</v>
      </c>
      <c r="J71" s="1">
        <f>+I71+H71+G71+F71+E71+D71</f>
        <v>-26246033.350000001</v>
      </c>
      <c r="K71" s="55" t="s">
        <v>86</v>
      </c>
      <c r="L71" s="1">
        <f>223380.11+234143.83+817793.77+265956</f>
        <v>1541273.71</v>
      </c>
      <c r="M71" s="1">
        <f t="shared" si="1"/>
        <v>-24704759.640000001</v>
      </c>
      <c r="O71" s="4">
        <f>24704759.64+M71</f>
        <v>0</v>
      </c>
    </row>
    <row r="72" spans="1:15" x14ac:dyDescent="0.4">
      <c r="A72" s="9"/>
      <c r="B72" s="9" t="s">
        <v>42</v>
      </c>
      <c r="C72" s="9"/>
      <c r="D72" s="11"/>
      <c r="E72" s="11"/>
      <c r="H72" s="2"/>
      <c r="I72" s="2"/>
      <c r="J72" s="1">
        <f>+I72+H72+G72+F72+E72+D72</f>
        <v>0</v>
      </c>
      <c r="M72" s="1">
        <f t="shared" si="1"/>
        <v>0</v>
      </c>
    </row>
    <row r="73" spans="1:15" x14ac:dyDescent="0.4">
      <c r="A73" s="9"/>
      <c r="B73" s="9"/>
      <c r="C73" s="9" t="s">
        <v>13</v>
      </c>
      <c r="D73" s="17">
        <v>-2818284.07</v>
      </c>
      <c r="E73" s="11">
        <v>-105610.43</v>
      </c>
      <c r="F73" s="1">
        <v>0</v>
      </c>
      <c r="G73" s="2">
        <v>0</v>
      </c>
      <c r="H73" s="2">
        <v>-5478.84</v>
      </c>
      <c r="I73" s="2">
        <v>-0.56999999999999995</v>
      </c>
      <c r="J73" s="1">
        <f>+I73+H73+G73+F73+E73+D73</f>
        <v>-2929373.9099999997</v>
      </c>
      <c r="M73" s="1">
        <f t="shared" si="1"/>
        <v>-2929373.9099999997</v>
      </c>
      <c r="O73" s="4">
        <f>2929373.91+M73</f>
        <v>0</v>
      </c>
    </row>
    <row r="74" spans="1:15" x14ac:dyDescent="0.4">
      <c r="A74" s="9"/>
      <c r="B74" s="9"/>
      <c r="C74" s="9" t="s">
        <v>43</v>
      </c>
      <c r="D74" s="11">
        <v>-3426490.45</v>
      </c>
      <c r="E74" s="11">
        <v>0</v>
      </c>
      <c r="F74" s="1">
        <v>0</v>
      </c>
      <c r="G74" s="2">
        <v>0</v>
      </c>
      <c r="H74" s="2">
        <v>-63528.73</v>
      </c>
      <c r="I74" s="2"/>
      <c r="J74" s="1">
        <f>+I74+H74+G74+F74+E74+D74</f>
        <v>-3490019.18</v>
      </c>
      <c r="K74" s="55"/>
      <c r="M74" s="1">
        <f t="shared" si="1"/>
        <v>-3490019.18</v>
      </c>
      <c r="O74" s="4">
        <f>3490019.18+M74</f>
        <v>0</v>
      </c>
    </row>
    <row r="75" spans="1:15" x14ac:dyDescent="0.4">
      <c r="A75" s="9"/>
      <c r="B75" s="9" t="s">
        <v>5</v>
      </c>
      <c r="C75" s="9"/>
      <c r="D75" s="11"/>
      <c r="E75" s="11"/>
      <c r="H75" s="2"/>
      <c r="I75" s="2"/>
      <c r="J75" s="1">
        <f>+I75+H75+G75+F75+E75+D75</f>
        <v>0</v>
      </c>
      <c r="M75" s="1">
        <f t="shared" si="1"/>
        <v>0</v>
      </c>
    </row>
    <row r="76" spans="1:15" x14ac:dyDescent="0.4">
      <c r="A76" s="9"/>
      <c r="B76" s="9"/>
      <c r="C76" s="9" t="s">
        <v>14</v>
      </c>
      <c r="D76" s="16">
        <f t="shared" ref="D76:J76" si="15">SUM(D71:D75)</f>
        <v>-17138307.870000001</v>
      </c>
      <c r="E76" s="16">
        <f t="shared" si="15"/>
        <v>-15158110.43</v>
      </c>
      <c r="F76" s="16">
        <f t="shared" si="15"/>
        <v>0</v>
      </c>
      <c r="G76" s="16">
        <f t="shared" si="15"/>
        <v>0</v>
      </c>
      <c r="H76" s="16">
        <f t="shared" si="15"/>
        <v>-69007.570000000007</v>
      </c>
      <c r="I76" s="16">
        <f t="shared" si="15"/>
        <v>-300000.57</v>
      </c>
      <c r="J76" s="16">
        <f t="shared" si="15"/>
        <v>-32665426.440000001</v>
      </c>
      <c r="M76" s="16">
        <f>SUM(M71:M75)</f>
        <v>-31124152.73</v>
      </c>
      <c r="O76" s="4">
        <f>31124152.73+M76</f>
        <v>0</v>
      </c>
    </row>
    <row r="77" spans="1:15" x14ac:dyDescent="0.4">
      <c r="A77" s="9" t="s">
        <v>40</v>
      </c>
      <c r="B77" s="9"/>
      <c r="C77" s="9"/>
      <c r="D77" s="11"/>
      <c r="E77" s="11"/>
      <c r="H77" s="2"/>
      <c r="I77" s="2"/>
      <c r="J77" s="2"/>
      <c r="M77" s="1">
        <f t="shared" si="1"/>
        <v>0</v>
      </c>
    </row>
    <row r="78" spans="1:15" x14ac:dyDescent="0.4">
      <c r="A78" s="9"/>
      <c r="B78" s="9" t="s">
        <v>7</v>
      </c>
      <c r="C78" s="9"/>
      <c r="D78" s="11">
        <v>5248379.3499999996</v>
      </c>
      <c r="E78" s="11">
        <f>502060-121000</f>
        <v>381060</v>
      </c>
      <c r="F78" s="2">
        <v>469104.17</v>
      </c>
      <c r="G78" s="2">
        <v>1252134.3799999999</v>
      </c>
      <c r="H78" s="2">
        <v>0</v>
      </c>
      <c r="I78" s="2"/>
      <c r="J78" s="1">
        <f>+I78+H78+G78+F78+E78+D78</f>
        <v>7350677.8999999994</v>
      </c>
      <c r="L78" s="1">
        <v>-602250</v>
      </c>
      <c r="M78" s="1">
        <f t="shared" si="1"/>
        <v>6748427.8999999994</v>
      </c>
      <c r="O78" s="4">
        <f>6748427.9-M78</f>
        <v>0</v>
      </c>
    </row>
    <row r="79" spans="1:15" x14ac:dyDescent="0.4">
      <c r="A79" s="9"/>
      <c r="B79" s="9" t="s">
        <v>25</v>
      </c>
      <c r="C79" s="9"/>
      <c r="D79" s="11">
        <v>7439667.2199999997</v>
      </c>
      <c r="E79" s="11">
        <f>923937.16-E78+1002625</f>
        <v>1545502.1600000001</v>
      </c>
      <c r="F79" s="2">
        <f>1090678.93-F78</f>
        <v>621574.76</v>
      </c>
      <c r="G79" s="2">
        <f>1566605.83-G78</f>
        <v>314471.45000000019</v>
      </c>
      <c r="H79" s="2">
        <v>29004.22</v>
      </c>
      <c r="I79" s="2">
        <v>28865.43</v>
      </c>
      <c r="J79" s="1">
        <f>+I79+H79+G79+F79+E79+D79</f>
        <v>9979085.2400000002</v>
      </c>
      <c r="K79" s="55" t="s">
        <v>86</v>
      </c>
      <c r="L79" s="1">
        <f>-(223380.11+234143.83+817793.77)-(265956)+602250</f>
        <v>-939023.71</v>
      </c>
      <c r="M79" s="1">
        <f t="shared" ref="M79:M92" si="16">+L79+J79</f>
        <v>9040061.5300000012</v>
      </c>
      <c r="O79" s="4">
        <f>8037436.53-M79</f>
        <v>-1002625.0000000009</v>
      </c>
    </row>
    <row r="80" spans="1:15" x14ac:dyDescent="0.4">
      <c r="A80" s="9"/>
      <c r="B80" s="9" t="s">
        <v>60</v>
      </c>
      <c r="C80" s="9"/>
      <c r="D80" s="11"/>
      <c r="E80" s="11"/>
      <c r="F80" s="2"/>
      <c r="H80" s="2">
        <v>0</v>
      </c>
      <c r="I80" s="2"/>
      <c r="J80" s="1">
        <f>+I80+H80+G80+F80+E80+D80</f>
        <v>0</v>
      </c>
      <c r="M80" s="1">
        <f t="shared" si="16"/>
        <v>0</v>
      </c>
    </row>
    <row r="81" spans="1:15" x14ac:dyDescent="0.4">
      <c r="A81" s="9"/>
      <c r="B81" s="9" t="s">
        <v>61</v>
      </c>
      <c r="C81" s="9"/>
      <c r="D81" s="11">
        <v>338000</v>
      </c>
      <c r="E81" s="11">
        <v>0</v>
      </c>
      <c r="F81" s="2"/>
      <c r="H81" s="2">
        <v>0</v>
      </c>
      <c r="I81" s="2"/>
      <c r="J81" s="1">
        <f>+I81+H81+G81+F81+E81+D81</f>
        <v>338000</v>
      </c>
      <c r="M81" s="1">
        <f t="shared" si="16"/>
        <v>338000</v>
      </c>
      <c r="O81" s="71"/>
    </row>
    <row r="82" spans="1:15" x14ac:dyDescent="0.4">
      <c r="A82" s="9"/>
      <c r="B82" s="9"/>
      <c r="C82" s="9" t="s">
        <v>6</v>
      </c>
      <c r="D82" s="16">
        <f t="shared" ref="D82:J82" si="17">SUM(D78:D81)</f>
        <v>13026046.57</v>
      </c>
      <c r="E82" s="16">
        <f t="shared" si="17"/>
        <v>1926562.1600000001</v>
      </c>
      <c r="F82" s="16">
        <f t="shared" si="17"/>
        <v>1090678.93</v>
      </c>
      <c r="G82" s="16">
        <f t="shared" si="17"/>
        <v>1566605.83</v>
      </c>
      <c r="H82" s="16">
        <f t="shared" si="17"/>
        <v>29004.22</v>
      </c>
      <c r="I82" s="16">
        <f t="shared" si="17"/>
        <v>28865.43</v>
      </c>
      <c r="J82" s="16">
        <f t="shared" si="17"/>
        <v>17667763.140000001</v>
      </c>
      <c r="M82" s="69">
        <f>SUM(M78:M81)</f>
        <v>16126489.43</v>
      </c>
    </row>
    <row r="83" spans="1:15" x14ac:dyDescent="0.4">
      <c r="A83" s="9"/>
      <c r="B83" s="9"/>
      <c r="C83" s="9" t="s">
        <v>129</v>
      </c>
      <c r="D83" s="11"/>
      <c r="E83" s="77">
        <f>4270251.98-3969464.48</f>
        <v>300787.50000000047</v>
      </c>
      <c r="F83" s="11"/>
      <c r="G83" s="11"/>
      <c r="H83" s="11"/>
      <c r="I83" s="11"/>
      <c r="J83" s="11"/>
      <c r="M83" s="1">
        <f t="shared" si="16"/>
        <v>0</v>
      </c>
    </row>
    <row r="84" spans="1:15" x14ac:dyDescent="0.4">
      <c r="A84" s="9" t="s">
        <v>15</v>
      </c>
      <c r="B84" s="9"/>
      <c r="C84" s="9"/>
      <c r="D84" s="11">
        <f t="shared" ref="D84:J84" si="18">+D76+D82</f>
        <v>-4112261.3000000007</v>
      </c>
      <c r="E84" s="11">
        <f t="shared" si="18"/>
        <v>-13231548.27</v>
      </c>
      <c r="F84" s="11">
        <f t="shared" si="18"/>
        <v>1090678.93</v>
      </c>
      <c r="G84" s="11">
        <f t="shared" si="18"/>
        <v>1566605.83</v>
      </c>
      <c r="H84" s="11">
        <f t="shared" si="18"/>
        <v>-40003.350000000006</v>
      </c>
      <c r="I84" s="11">
        <f t="shared" si="18"/>
        <v>-271135.14</v>
      </c>
      <c r="J84" s="11">
        <f t="shared" si="18"/>
        <v>-14997663.300000001</v>
      </c>
      <c r="M84" s="1">
        <f t="shared" si="16"/>
        <v>-14997663.300000001</v>
      </c>
    </row>
    <row r="85" spans="1:15" x14ac:dyDescent="0.4">
      <c r="A85" s="9" t="s">
        <v>41</v>
      </c>
      <c r="B85" s="9"/>
      <c r="C85" s="9"/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">
        <f>+I85+H85+G85+F85+E85+D85</f>
        <v>0</v>
      </c>
      <c r="M85" s="1">
        <f t="shared" si="16"/>
        <v>0</v>
      </c>
    </row>
    <row r="86" spans="1:15" x14ac:dyDescent="0.4">
      <c r="A86" s="9" t="s">
        <v>16</v>
      </c>
      <c r="B86" s="9"/>
      <c r="C86" s="9"/>
      <c r="D86" s="22">
        <v>89221.59</v>
      </c>
      <c r="E86" s="31">
        <f>4270251.98-300787.5</f>
        <v>3969464.4800000004</v>
      </c>
      <c r="F86" s="31">
        <v>0</v>
      </c>
      <c r="G86" s="31">
        <v>0</v>
      </c>
      <c r="H86" s="31">
        <v>0</v>
      </c>
      <c r="I86" s="31">
        <v>0</v>
      </c>
      <c r="J86" s="46">
        <f>+I86+H86+G86+F86+E86+D86</f>
        <v>4058686.0700000003</v>
      </c>
      <c r="M86" s="46">
        <f t="shared" si="16"/>
        <v>4058686.0700000003</v>
      </c>
    </row>
    <row r="87" spans="1:15" x14ac:dyDescent="0.4">
      <c r="A87" s="9" t="s">
        <v>29</v>
      </c>
      <c r="B87" s="9"/>
      <c r="C87" s="9"/>
      <c r="D87" s="10">
        <f>SUM(D84:D86)</f>
        <v>-4023039.7100000009</v>
      </c>
      <c r="E87" s="10">
        <f t="shared" ref="E87:J87" si="19">SUM(E84:E86)</f>
        <v>-9262083.7899999991</v>
      </c>
      <c r="F87" s="10">
        <f t="shared" si="19"/>
        <v>1090678.93</v>
      </c>
      <c r="G87" s="10">
        <f t="shared" si="19"/>
        <v>1566605.83</v>
      </c>
      <c r="H87" s="10">
        <f t="shared" si="19"/>
        <v>-40003.350000000006</v>
      </c>
      <c r="I87" s="10">
        <f t="shared" si="19"/>
        <v>-271135.14</v>
      </c>
      <c r="J87" s="10">
        <f t="shared" si="19"/>
        <v>-10938977.23</v>
      </c>
      <c r="M87" s="1">
        <f>SUM(M84:M86)</f>
        <v>-10938977.23</v>
      </c>
    </row>
    <row r="88" spans="1:15" x14ac:dyDescent="0.4">
      <c r="A88" s="9" t="s">
        <v>37</v>
      </c>
      <c r="B88" s="9"/>
      <c r="C88" s="9"/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55" t="s">
        <v>123</v>
      </c>
      <c r="L88" s="1">
        <v>-525007.16</v>
      </c>
      <c r="M88" s="46">
        <f t="shared" si="16"/>
        <v>-525007.16</v>
      </c>
    </row>
    <row r="89" spans="1:15" ht="18.75" thickBot="1" x14ac:dyDescent="0.45">
      <c r="A89" s="9" t="s">
        <v>30</v>
      </c>
      <c r="B89" s="9"/>
      <c r="C89" s="9"/>
      <c r="D89" s="19">
        <f t="shared" ref="D89:J89" si="20">SUM(D87:D88)</f>
        <v>-4023039.7100000009</v>
      </c>
      <c r="E89" s="19">
        <f t="shared" si="20"/>
        <v>-9262083.7899999991</v>
      </c>
      <c r="F89" s="19">
        <f t="shared" si="20"/>
        <v>1090678.93</v>
      </c>
      <c r="G89" s="19">
        <f t="shared" si="20"/>
        <v>1566605.83</v>
      </c>
      <c r="H89" s="19">
        <f t="shared" si="20"/>
        <v>-40003.350000000006</v>
      </c>
      <c r="I89" s="19">
        <f t="shared" si="20"/>
        <v>-271135.14</v>
      </c>
      <c r="J89" s="19">
        <f t="shared" si="20"/>
        <v>-10938977.23</v>
      </c>
      <c r="L89" s="1">
        <f>+SUM(L71:L88)</f>
        <v>-525007.16</v>
      </c>
      <c r="M89" s="70">
        <f>SUM(M87:M88)</f>
        <v>-11463984.390000001</v>
      </c>
    </row>
    <row r="90" spans="1:15" ht="9.9499999999999993" customHeight="1" thickTop="1" x14ac:dyDescent="0.4">
      <c r="A90" s="9"/>
      <c r="B90" s="9"/>
      <c r="C90" s="9"/>
      <c r="D90" s="17"/>
      <c r="E90" s="17"/>
      <c r="F90" s="2"/>
      <c r="G90" s="17"/>
      <c r="H90" s="17"/>
      <c r="I90" s="2"/>
      <c r="J90" s="2"/>
      <c r="M90" s="1">
        <f t="shared" si="16"/>
        <v>0</v>
      </c>
    </row>
    <row r="91" spans="1:15" x14ac:dyDescent="0.4">
      <c r="M91" s="1">
        <f t="shared" si="16"/>
        <v>0</v>
      </c>
    </row>
    <row r="92" spans="1:15" x14ac:dyDescent="0.4">
      <c r="M92" s="1">
        <f t="shared" si="16"/>
        <v>0</v>
      </c>
    </row>
  </sheetData>
  <mergeCells count="1">
    <mergeCell ref="K3:L3"/>
  </mergeCells>
  <phoneticPr fontId="0" type="noConversion"/>
  <printOptions gridLines="1"/>
  <pageMargins left="0.32" right="0.17" top="0.32" bottom="0.26" header="0.17" footer="0.16"/>
  <pageSetup paperSize="9" scale="77" orientation="landscape" r:id="rId1"/>
  <headerFooter alignWithMargins="0"/>
  <rowBreaks count="2" manualBreakCount="2">
    <brk id="29" max="12" man="1"/>
    <brk id="6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BS_Q4-67</vt:lpstr>
      <vt:lpstr>Changed-Conso</vt:lpstr>
      <vt:lpstr>Changed-Com</vt:lpstr>
      <vt:lpstr>PL_Q4-67</vt:lpstr>
      <vt:lpstr>CashFlow</vt:lpstr>
      <vt:lpstr>Equity</vt:lpstr>
      <vt:lpstr>Conso_Q150</vt:lpstr>
      <vt:lpstr>CashFlow!OLE_LINK3</vt:lpstr>
      <vt:lpstr>'BS_Q4-67'!Print_Area</vt:lpstr>
      <vt:lpstr>CashFlow!Print_Area</vt:lpstr>
      <vt:lpstr>'Changed-Com'!Print_Area</vt:lpstr>
      <vt:lpstr>'Changed-Conso'!Print_Area</vt:lpstr>
      <vt:lpstr>Conso_Q150!Print_Area</vt:lpstr>
      <vt:lpstr>Equity!Print_Area</vt:lpstr>
      <vt:lpstr>'PL_Q4-67'!Print_Area</vt:lpstr>
      <vt:lpstr>CashFlow!Print_Titles</vt:lpstr>
      <vt:lpstr>Conso_Q150!Print_Titles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2025-03-02T12:41:48Z</cp:lastPrinted>
  <dcterms:created xsi:type="dcterms:W3CDTF">2003-04-30T06:44:25Z</dcterms:created>
  <dcterms:modified xsi:type="dcterms:W3CDTF">2025-03-02T19:24:04Z</dcterms:modified>
</cp:coreProperties>
</file>