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.M.T\YEAR 2024\Q2-2024\"/>
    </mc:Choice>
  </mc:AlternateContent>
  <xr:revisionPtr revIDLastSave="0" documentId="13_ncr:1_{A0E490E6-ED49-486A-AC5E-191C2706B952}" xr6:coauthVersionLast="47" xr6:coauthVersionMax="47" xr10:uidLastSave="{00000000-0000-0000-0000-000000000000}"/>
  <bookViews>
    <workbookView xWindow="-120" yWindow="-120" windowWidth="29040" windowHeight="15840" tabRatio="847" xr2:uid="{00000000-000D-0000-FFFF-FFFF00000000}"/>
  </bookViews>
  <sheets>
    <sheet name="BS_Q2-67" sheetId="50" r:id="rId1"/>
    <sheet name="Changed-Conso" sheetId="49" r:id="rId2"/>
    <sheet name="Changed-Com" sheetId="48" r:id="rId3"/>
    <sheet name="PL_Q2-67" sheetId="5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CashFlow!$A$146</definedName>
    <definedName name="_xlnm.Print_Area" localSheetId="0">'BS_Q2-67'!$A$1:$L$140</definedName>
    <definedName name="_xlnm.Print_Area" localSheetId="4">CashFlow!$A$1:$M$99</definedName>
    <definedName name="_xlnm.Print_Area" localSheetId="2">'Changed-Com'!$A$1:$X$45</definedName>
    <definedName name="_xlnm.Print_Area" localSheetId="1">'Changed-Conso'!$A$1:$Z$46</definedName>
    <definedName name="_xlnm.Print_Area" localSheetId="6">Conso_Q150!$A$1:$M$92</definedName>
    <definedName name="_xlnm.Print_Area" localSheetId="5">Equity!$A$1:$G$42</definedName>
    <definedName name="_xlnm.Print_Area" localSheetId="3">'PL_Q2-67'!$A$1:$L$222</definedName>
    <definedName name="_xlnm.Print_Titles" localSheetId="4">CashFlow!$1:$8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5" i="58" l="1"/>
  <c r="H195" i="58"/>
  <c r="K7" i="47" l="1"/>
  <c r="J119" i="58" l="1"/>
  <c r="J175" i="58" s="1"/>
  <c r="J7" i="58"/>
  <c r="J65" i="58" s="1"/>
  <c r="L195" i="58"/>
  <c r="J195" i="58"/>
  <c r="F195" i="58"/>
  <c r="L189" i="58"/>
  <c r="J189" i="58"/>
  <c r="H189" i="58"/>
  <c r="F189" i="58"/>
  <c r="H176" i="58"/>
  <c r="F176" i="58"/>
  <c r="F175" i="58"/>
  <c r="A172" i="58"/>
  <c r="A170" i="58"/>
  <c r="L141" i="58"/>
  <c r="J141" i="58"/>
  <c r="H141" i="58"/>
  <c r="F141" i="58"/>
  <c r="L132" i="58"/>
  <c r="J132" i="58"/>
  <c r="H132" i="58"/>
  <c r="F132" i="58"/>
  <c r="L120" i="58"/>
  <c r="L176" i="58" s="1"/>
  <c r="J120" i="58"/>
  <c r="J176" i="58" s="1"/>
  <c r="H143" i="58" l="1"/>
  <c r="H147" i="58" s="1"/>
  <c r="H149" i="58" s="1"/>
  <c r="H152" i="58" s="1"/>
  <c r="L143" i="58"/>
  <c r="L147" i="58" s="1"/>
  <c r="L149" i="58" s="1"/>
  <c r="L152" i="58" s="1"/>
  <c r="F143" i="58"/>
  <c r="F147" i="58" s="1"/>
  <c r="F149" i="58" s="1"/>
  <c r="F152" i="58" s="1"/>
  <c r="J143" i="58"/>
  <c r="J147" i="58" s="1"/>
  <c r="J149" i="58" s="1"/>
  <c r="J178" i="58" s="1"/>
  <c r="J191" i="58" s="1"/>
  <c r="J194" i="58" s="1"/>
  <c r="J196" i="58" s="1"/>
  <c r="M66" i="47"/>
  <c r="M60" i="47"/>
  <c r="I66" i="47"/>
  <c r="I60" i="47"/>
  <c r="M8" i="47"/>
  <c r="T14" i="49"/>
  <c r="V14" i="49" s="1"/>
  <c r="Z14" i="49" s="1"/>
  <c r="X13" i="48"/>
  <c r="H178" i="58" l="1"/>
  <c r="H191" i="58" s="1"/>
  <c r="H194" i="58" s="1"/>
  <c r="H196" i="58" s="1"/>
  <c r="L178" i="58"/>
  <c r="L191" i="58" s="1"/>
  <c r="L194" i="58" s="1"/>
  <c r="L196" i="58" s="1"/>
  <c r="J152" i="58"/>
  <c r="J157" i="58" s="1"/>
  <c r="F178" i="58"/>
  <c r="F191" i="58" s="1"/>
  <c r="F194" i="58" s="1"/>
  <c r="F196" i="58" s="1"/>
  <c r="F161" i="58"/>
  <c r="F157" i="58"/>
  <c r="F154" i="58"/>
  <c r="L157" i="58"/>
  <c r="L154" i="58"/>
  <c r="L161" i="58"/>
  <c r="H161" i="58"/>
  <c r="H157" i="58"/>
  <c r="H154" i="58"/>
  <c r="L30" i="58"/>
  <c r="L21" i="58"/>
  <c r="L8" i="58"/>
  <c r="H30" i="58"/>
  <c r="H21" i="58"/>
  <c r="X27" i="48"/>
  <c r="J154" i="58" l="1"/>
  <c r="J161" i="58"/>
  <c r="H32" i="58"/>
  <c r="H36" i="58" s="1"/>
  <c r="L32" i="58"/>
  <c r="L36" i="58" s="1"/>
  <c r="A48" i="47"/>
  <c r="A91" i="47" s="1"/>
  <c r="A53" i="58"/>
  <c r="A88" i="58" s="1"/>
  <c r="A124" i="50"/>
  <c r="A84" i="50"/>
  <c r="A43" i="49" l="1"/>
  <c r="A164" i="58"/>
  <c r="A198" i="58" s="1"/>
  <c r="L38" i="58"/>
  <c r="H38" i="58"/>
  <c r="A42" i="48"/>
  <c r="L81" i="50"/>
  <c r="L75" i="50"/>
  <c r="H81" i="50"/>
  <c r="H75" i="50"/>
  <c r="L42" i="50"/>
  <c r="L28" i="50"/>
  <c r="L8" i="50"/>
  <c r="H42" i="50"/>
  <c r="H28" i="50"/>
  <c r="J30" i="58"/>
  <c r="F30" i="58"/>
  <c r="T31" i="48"/>
  <c r="V23" i="48"/>
  <c r="X23" i="48" s="1"/>
  <c r="T20" i="48"/>
  <c r="X20" i="48" s="1"/>
  <c r="X19" i="48"/>
  <c r="X18" i="48"/>
  <c r="X17" i="48"/>
  <c r="X16" i="48"/>
  <c r="N32" i="49"/>
  <c r="X21" i="49"/>
  <c r="P21" i="49"/>
  <c r="T21" i="49" s="1"/>
  <c r="R23" i="49"/>
  <c r="N23" i="49" s="1"/>
  <c r="P23" i="49"/>
  <c r="T23" i="49" s="1"/>
  <c r="T20" i="49"/>
  <c r="N20" i="49"/>
  <c r="T19" i="49"/>
  <c r="V19" i="49" s="1"/>
  <c r="Z19" i="49" s="1"/>
  <c r="T18" i="49"/>
  <c r="V18" i="49" s="1"/>
  <c r="Z18" i="49" s="1"/>
  <c r="T17" i="49"/>
  <c r="V17" i="49" s="1"/>
  <c r="Z17" i="49" s="1"/>
  <c r="H41" i="58" l="1"/>
  <c r="H50" i="58" s="1"/>
  <c r="I10" i="47"/>
  <c r="I25" i="47" s="1"/>
  <c r="I42" i="47" s="1"/>
  <c r="I46" i="47" s="1"/>
  <c r="I68" i="47" s="1"/>
  <c r="I70" i="47" s="1"/>
  <c r="L41" i="58"/>
  <c r="L46" i="58" s="1"/>
  <c r="M10" i="47"/>
  <c r="M25" i="47" s="1"/>
  <c r="M42" i="47" s="1"/>
  <c r="M46" i="47" s="1"/>
  <c r="M68" i="47" s="1"/>
  <c r="M70" i="47" s="1"/>
  <c r="H82" i="50"/>
  <c r="V21" i="48"/>
  <c r="L43" i="50"/>
  <c r="H43" i="50"/>
  <c r="L82" i="50"/>
  <c r="V23" i="49"/>
  <c r="Z23" i="49" s="1"/>
  <c r="V20" i="49"/>
  <c r="Z20" i="49" s="1"/>
  <c r="L43" i="58" l="1"/>
  <c r="L50" i="58"/>
  <c r="H46" i="58"/>
  <c r="H43" i="58"/>
  <c r="T32" i="49"/>
  <c r="V32" i="49" s="1"/>
  <c r="Z32" i="49" s="1"/>
  <c r="R38" i="49"/>
  <c r="N38" i="49" s="1"/>
  <c r="V37" i="48"/>
  <c r="V35" i="48" s="1"/>
  <c r="T38" i="49" l="1"/>
  <c r="V38" i="49" s="1"/>
  <c r="Z38" i="49" s="1"/>
  <c r="X37" i="48"/>
  <c r="X31" i="48" l="1"/>
  <c r="J28" i="50" l="1"/>
  <c r="F28" i="50"/>
  <c r="T34" i="48" l="1"/>
  <c r="X34" i="48" s="1"/>
  <c r="X32" i="48"/>
  <c r="X30" i="48"/>
  <c r="N35" i="49"/>
  <c r="T35" i="49"/>
  <c r="T33" i="49"/>
  <c r="V33" i="49" s="1"/>
  <c r="Z33" i="49" s="1"/>
  <c r="T31" i="49"/>
  <c r="V31" i="49" s="1"/>
  <c r="Z31" i="49" s="1"/>
  <c r="V35" i="49" l="1"/>
  <c r="Z35" i="49" s="1"/>
  <c r="R41" i="49" l="1"/>
  <c r="K8" i="47"/>
  <c r="V25" i="48"/>
  <c r="P26" i="49"/>
  <c r="J8" i="58"/>
  <c r="J66" i="58" s="1"/>
  <c r="H56" i="50"/>
  <c r="H102" i="50" s="1"/>
  <c r="L56" i="50"/>
  <c r="L102" i="50" s="1"/>
  <c r="F21" i="58"/>
  <c r="F32" i="58" s="1"/>
  <c r="F36" i="58" s="1"/>
  <c r="F25" i="48"/>
  <c r="P36" i="49"/>
  <c r="T36" i="49" s="1"/>
  <c r="X36" i="49"/>
  <c r="X41" i="49" s="1"/>
  <c r="F120" i="50" s="1"/>
  <c r="A53" i="50"/>
  <c r="A99" i="50" s="1"/>
  <c r="J81" i="50"/>
  <c r="F81" i="50"/>
  <c r="H39" i="48"/>
  <c r="J113" i="50" s="1"/>
  <c r="H25" i="48"/>
  <c r="H41" i="49"/>
  <c r="F113" i="50" s="1"/>
  <c r="H26" i="49"/>
  <c r="L66" i="58"/>
  <c r="H66" i="58"/>
  <c r="F66" i="58"/>
  <c r="H119" i="50"/>
  <c r="H121" i="50" s="1"/>
  <c r="T28" i="49"/>
  <c r="V28" i="49" s="1"/>
  <c r="Z28" i="49" s="1"/>
  <c r="X26" i="49"/>
  <c r="L26" i="49"/>
  <c r="J26" i="49"/>
  <c r="F26" i="49"/>
  <c r="D26" i="49"/>
  <c r="L79" i="58"/>
  <c r="J79" i="58"/>
  <c r="H79" i="58"/>
  <c r="F79" i="58"/>
  <c r="R25" i="48"/>
  <c r="P25" i="48"/>
  <c r="N25" i="48"/>
  <c r="L25" i="48"/>
  <c r="J25" i="48"/>
  <c r="D25" i="48"/>
  <c r="G66" i="47"/>
  <c r="K66" i="47"/>
  <c r="F65" i="58"/>
  <c r="J21" i="58"/>
  <c r="J32" i="58" s="1"/>
  <c r="J36" i="58" s="1"/>
  <c r="K60" i="47"/>
  <c r="X33" i="48"/>
  <c r="R39" i="48"/>
  <c r="J116" i="50" s="1"/>
  <c r="J75" i="50"/>
  <c r="J39" i="48"/>
  <c r="J114" i="50" s="1"/>
  <c r="F39" i="48"/>
  <c r="D39" i="48"/>
  <c r="J41" i="49"/>
  <c r="F114" i="50" s="1"/>
  <c r="F41" i="49"/>
  <c r="L41" i="49"/>
  <c r="D41" i="49"/>
  <c r="L119" i="50"/>
  <c r="L121" i="50" s="1"/>
  <c r="G60" i="47"/>
  <c r="F85" i="58"/>
  <c r="A60" i="58"/>
  <c r="A62" i="58"/>
  <c r="J85" i="58"/>
  <c r="L85" i="58"/>
  <c r="F75" i="50"/>
  <c r="T34" i="49"/>
  <c r="V34" i="49" s="1"/>
  <c r="Z34" i="49" s="1"/>
  <c r="J8" i="50"/>
  <c r="J56" i="50" s="1"/>
  <c r="J102" i="50" s="1"/>
  <c r="F56" i="50"/>
  <c r="F102" i="50" s="1"/>
  <c r="A4" i="48"/>
  <c r="J42" i="50"/>
  <c r="J6" i="56"/>
  <c r="J7" i="56"/>
  <c r="J8" i="56"/>
  <c r="M8" i="56" s="1"/>
  <c r="J9" i="56"/>
  <c r="M9" i="56" s="1"/>
  <c r="H10" i="56"/>
  <c r="H19" i="56" s="1"/>
  <c r="H29" i="56" s="1"/>
  <c r="J11" i="56"/>
  <c r="M11" i="56" s="1"/>
  <c r="J12" i="56"/>
  <c r="M12" i="56" s="1"/>
  <c r="J13" i="56"/>
  <c r="M13" i="56" s="1"/>
  <c r="J14" i="56"/>
  <c r="M14" i="56" s="1"/>
  <c r="J15" i="56"/>
  <c r="M15" i="56" s="1"/>
  <c r="O15" i="56" s="1"/>
  <c r="E16" i="56"/>
  <c r="E19" i="56" s="1"/>
  <c r="E29" i="56" s="1"/>
  <c r="J16" i="56"/>
  <c r="M16" i="56" s="1"/>
  <c r="J17" i="56"/>
  <c r="M17" i="56" s="1"/>
  <c r="D18" i="56"/>
  <c r="D19" i="56" s="1"/>
  <c r="E18" i="56"/>
  <c r="F18" i="56"/>
  <c r="F19" i="56" s="1"/>
  <c r="G18" i="56"/>
  <c r="I19" i="56"/>
  <c r="J21" i="56"/>
  <c r="J22" i="56"/>
  <c r="J23" i="56"/>
  <c r="J24" i="56"/>
  <c r="M24" i="56" s="1"/>
  <c r="J25" i="56"/>
  <c r="M25" i="56" s="1"/>
  <c r="D26" i="56"/>
  <c r="J26" i="56" s="1"/>
  <c r="M26" i="56" s="1"/>
  <c r="J27" i="56"/>
  <c r="M27" i="56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/>
  <c r="J34" i="56"/>
  <c r="M34" i="56" s="1"/>
  <c r="J35" i="56"/>
  <c r="M35" i="56" s="1"/>
  <c r="E36" i="56"/>
  <c r="F36" i="56"/>
  <c r="J37" i="56"/>
  <c r="M37" i="56" s="1"/>
  <c r="D38" i="56"/>
  <c r="D40" i="56" s="1"/>
  <c r="D45" i="56" s="1"/>
  <c r="E38" i="56"/>
  <c r="E39" i="56"/>
  <c r="F39" i="56"/>
  <c r="G39" i="56"/>
  <c r="J39" i="56" s="1"/>
  <c r="H40" i="56"/>
  <c r="I40" i="56"/>
  <c r="J42" i="56"/>
  <c r="M42" i="56" s="1"/>
  <c r="J43" i="56"/>
  <c r="M43" i="56" s="1"/>
  <c r="D44" i="56"/>
  <c r="E44" i="56"/>
  <c r="F44" i="56"/>
  <c r="G44" i="56"/>
  <c r="H44" i="56"/>
  <c r="I44" i="56"/>
  <c r="J47" i="56"/>
  <c r="M47" i="56" s="1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 s="1"/>
  <c r="J55" i="56"/>
  <c r="M55" i="56" s="1"/>
  <c r="E58" i="56"/>
  <c r="F58" i="56"/>
  <c r="K62" i="56"/>
  <c r="L62" i="56"/>
  <c r="L63" i="56"/>
  <c r="L64" i="56"/>
  <c r="L65" i="56"/>
  <c r="J71" i="56"/>
  <c r="L71" i="56"/>
  <c r="J72" i="56"/>
  <c r="M72" i="56" s="1"/>
  <c r="J73" i="56"/>
  <c r="M73" i="56" s="1"/>
  <c r="O73" i="56" s="1"/>
  <c r="J74" i="56"/>
  <c r="M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F79" i="56"/>
  <c r="G79" i="56"/>
  <c r="G82" i="56" s="1"/>
  <c r="L79" i="56"/>
  <c r="J80" i="56"/>
  <c r="M80" i="56" s="1"/>
  <c r="J81" i="56"/>
  <c r="M81" i="56" s="1"/>
  <c r="D82" i="56"/>
  <c r="D84" i="56" s="1"/>
  <c r="D87" i="56" s="1"/>
  <c r="D89" i="56" s="1"/>
  <c r="D56" i="56" s="1"/>
  <c r="H82" i="56"/>
  <c r="I82" i="56"/>
  <c r="E83" i="56"/>
  <c r="M83" i="56"/>
  <c r="J85" i="56"/>
  <c r="M85" i="56" s="1"/>
  <c r="E86" i="56"/>
  <c r="J86" i="56" s="1"/>
  <c r="M86" i="56" s="1"/>
  <c r="M88" i="56"/>
  <c r="M90" i="56"/>
  <c r="M91" i="56"/>
  <c r="M92" i="56"/>
  <c r="E8" i="57"/>
  <c r="E11" i="57" s="1"/>
  <c r="F8" i="57"/>
  <c r="F11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G17" i="57"/>
  <c r="D17" i="57"/>
  <c r="B19" i="57"/>
  <c r="C19" i="57"/>
  <c r="D19" i="57"/>
  <c r="E19" i="57"/>
  <c r="F19" i="57"/>
  <c r="B22" i="57"/>
  <c r="B23" i="57" s="1"/>
  <c r="C22" i="57"/>
  <c r="C23" i="57" s="1"/>
  <c r="D22" i="57"/>
  <c r="D23" i="57" s="1"/>
  <c r="G24" i="57"/>
  <c r="C31" i="57"/>
  <c r="D32" i="57" s="1"/>
  <c r="G35" i="57"/>
  <c r="D37" i="57"/>
  <c r="D41" i="57"/>
  <c r="A3" i="48"/>
  <c r="L39" i="48"/>
  <c r="N39" i="48"/>
  <c r="P39" i="48"/>
  <c r="F42" i="50"/>
  <c r="G19" i="56"/>
  <c r="G29" i="56" s="1"/>
  <c r="L60" i="56"/>
  <c r="M21" i="56"/>
  <c r="M7" i="56"/>
  <c r="P122" i="50"/>
  <c r="T122" i="50"/>
  <c r="J44" i="56"/>
  <c r="J10" i="56"/>
  <c r="J76" i="56"/>
  <c r="E79" i="56"/>
  <c r="E82" i="56" s="1"/>
  <c r="M10" i="56"/>
  <c r="M6" i="56"/>
  <c r="F82" i="56"/>
  <c r="F84" i="56" s="1"/>
  <c r="F87" i="56" s="1"/>
  <c r="F89" i="56" s="1"/>
  <c r="F56" i="56" s="1"/>
  <c r="M22" i="56"/>
  <c r="L89" i="56"/>
  <c r="L56" i="56" s="1"/>
  <c r="M71" i="56"/>
  <c r="O71" i="56" s="1"/>
  <c r="J38" i="56"/>
  <c r="M38" i="56"/>
  <c r="L122" i="50" l="1"/>
  <c r="L141" i="50" s="1"/>
  <c r="F82" i="50"/>
  <c r="M44" i="56"/>
  <c r="M60" i="56"/>
  <c r="H45" i="56"/>
  <c r="E40" i="56"/>
  <c r="E45" i="56" s="1"/>
  <c r="H84" i="56"/>
  <c r="H87" i="56" s="1"/>
  <c r="H89" i="56" s="1"/>
  <c r="H56" i="56" s="1"/>
  <c r="H59" i="56" s="1"/>
  <c r="H65" i="56" s="1"/>
  <c r="H66" i="56" s="1"/>
  <c r="H67" i="56" s="1"/>
  <c r="F40" i="56"/>
  <c r="F45" i="56" s="1"/>
  <c r="J28" i="56"/>
  <c r="J82" i="50"/>
  <c r="P41" i="49"/>
  <c r="AB28" i="49"/>
  <c r="F43" i="50"/>
  <c r="J43" i="50"/>
  <c r="T41" i="49"/>
  <c r="F118" i="50" s="1"/>
  <c r="G12" i="57"/>
  <c r="G84" i="56"/>
  <c r="G87" i="56" s="1"/>
  <c r="G89" i="56" s="1"/>
  <c r="G56" i="56" s="1"/>
  <c r="F59" i="56"/>
  <c r="F65" i="56" s="1"/>
  <c r="E84" i="56"/>
  <c r="E87" i="56" s="1"/>
  <c r="E89" i="56" s="1"/>
  <c r="E56" i="56" s="1"/>
  <c r="E59" i="56" s="1"/>
  <c r="E65" i="56" s="1"/>
  <c r="E66" i="56" s="1"/>
  <c r="E67" i="56" s="1"/>
  <c r="D28" i="56"/>
  <c r="D29" i="56" s="1"/>
  <c r="G14" i="57"/>
  <c r="H122" i="50"/>
  <c r="H141" i="50" s="1"/>
  <c r="G16" i="57"/>
  <c r="C45" i="57" s="1"/>
  <c r="J36" i="56"/>
  <c r="M36" i="56" s="1"/>
  <c r="F29" i="56"/>
  <c r="J18" i="56"/>
  <c r="M18" i="56" s="1"/>
  <c r="O18" i="56" s="1"/>
  <c r="M23" i="56"/>
  <c r="D59" i="56"/>
  <c r="D65" i="56" s="1"/>
  <c r="D66" i="56" s="1"/>
  <c r="D67" i="56" s="1"/>
  <c r="G19" i="57"/>
  <c r="E22" i="57"/>
  <c r="E23" i="57" s="1"/>
  <c r="G40" i="56"/>
  <c r="G45" i="56" s="1"/>
  <c r="I84" i="56"/>
  <c r="I87" i="56" s="1"/>
  <c r="I89" i="56" s="1"/>
  <c r="I56" i="56" s="1"/>
  <c r="I59" i="56" s="1"/>
  <c r="I65" i="56" s="1"/>
  <c r="I66" i="56" s="1"/>
  <c r="I67" i="56" s="1"/>
  <c r="I45" i="56"/>
  <c r="F116" i="50"/>
  <c r="AD41" i="49" s="1"/>
  <c r="M78" i="56"/>
  <c r="G58" i="56"/>
  <c r="V39" i="48"/>
  <c r="O74" i="56"/>
  <c r="M76" i="56"/>
  <c r="O76" i="56" s="1"/>
  <c r="M39" i="56"/>
  <c r="O39" i="56" s="1"/>
  <c r="O26" i="56"/>
  <c r="M28" i="56"/>
  <c r="M51" i="56"/>
  <c r="J19" i="56"/>
  <c r="J29" i="56" s="1"/>
  <c r="F22" i="57"/>
  <c r="F23" i="57" s="1"/>
  <c r="J79" i="56"/>
  <c r="M79" i="56" s="1"/>
  <c r="O79" i="56" s="1"/>
  <c r="G23" i="57" l="1"/>
  <c r="G27" i="57" s="1"/>
  <c r="G30" i="57" s="1"/>
  <c r="F66" i="56"/>
  <c r="F67" i="56" s="1"/>
  <c r="J40" i="56"/>
  <c r="J45" i="56" s="1"/>
  <c r="J56" i="56"/>
  <c r="M56" i="56" s="1"/>
  <c r="M19" i="56"/>
  <c r="M29" i="56" s="1"/>
  <c r="L57" i="56"/>
  <c r="L67" i="56" s="1"/>
  <c r="J58" i="56"/>
  <c r="G59" i="56"/>
  <c r="G65" i="56" s="1"/>
  <c r="G66" i="56" s="1"/>
  <c r="G67" i="56" s="1"/>
  <c r="J82" i="56"/>
  <c r="J84" i="56" s="1"/>
  <c r="M40" i="56"/>
  <c r="M45" i="56" s="1"/>
  <c r="M82" i="56"/>
  <c r="O78" i="56"/>
  <c r="J87" i="56" l="1"/>
  <c r="J89" i="56" s="1"/>
  <c r="M84" i="56"/>
  <c r="M87" i="56" s="1"/>
  <c r="M89" i="56" s="1"/>
  <c r="M58" i="56"/>
  <c r="M59" i="56" s="1"/>
  <c r="M65" i="56" s="1"/>
  <c r="M66" i="56" s="1"/>
  <c r="M67" i="56" s="1"/>
  <c r="J59" i="56"/>
  <c r="J65" i="56" s="1"/>
  <c r="J66" i="56" s="1"/>
  <c r="J67" i="56" s="1"/>
  <c r="T26" i="49" l="1"/>
  <c r="R26" i="49"/>
  <c r="F38" i="58" l="1"/>
  <c r="F68" i="58" l="1"/>
  <c r="F81" i="58" s="1"/>
  <c r="F84" i="58" s="1"/>
  <c r="F86" i="58" s="1"/>
  <c r="F41" i="58"/>
  <c r="G10" i="47"/>
  <c r="G25" i="47" s="1"/>
  <c r="G42" i="47" s="1"/>
  <c r="G46" i="47" s="1"/>
  <c r="G68" i="47" s="1"/>
  <c r="G70" i="47" s="1"/>
  <c r="G101" i="47" s="1"/>
  <c r="F50" i="58" l="1"/>
  <c r="F46" i="58"/>
  <c r="F43" i="58"/>
  <c r="N36" i="49"/>
  <c r="V36" i="49" l="1"/>
  <c r="N41" i="49"/>
  <c r="F117" i="50" l="1"/>
  <c r="F119" i="50" s="1"/>
  <c r="F121" i="50" s="1"/>
  <c r="F122" i="50" s="1"/>
  <c r="V41" i="49"/>
  <c r="Z36" i="49"/>
  <c r="Z41" i="49" s="1"/>
  <c r="AB41" i="49" l="1"/>
  <c r="N122" i="50"/>
  <c r="F141" i="50"/>
  <c r="AB42" i="49"/>
  <c r="AC41" i="49"/>
  <c r="H68" i="58" l="1"/>
  <c r="H81" i="58" s="1"/>
  <c r="H84" i="58" s="1"/>
  <c r="H86" i="58" s="1"/>
  <c r="I101" i="47"/>
  <c r="N21" i="49" l="1"/>
  <c r="N26" i="49" l="1"/>
  <c r="AC26" i="49" s="1"/>
  <c r="V21" i="49"/>
  <c r="AB21" i="49"/>
  <c r="V26" i="49" l="1"/>
  <c r="Z21" i="49"/>
  <c r="Z26" i="49" s="1"/>
  <c r="AB26" i="49" s="1"/>
  <c r="J38" i="58"/>
  <c r="J68" i="58" s="1"/>
  <c r="J81" i="58" s="1"/>
  <c r="J84" i="58" s="1"/>
  <c r="J86" i="58" s="1"/>
  <c r="K10" i="47" l="1"/>
  <c r="K25" i="47" s="1"/>
  <c r="K42" i="47" s="1"/>
  <c r="K46" i="47" s="1"/>
  <c r="K68" i="47" s="1"/>
  <c r="K70" i="47" s="1"/>
  <c r="K101" i="47" s="1"/>
  <c r="J41" i="58"/>
  <c r="J50" i="58" l="1"/>
  <c r="J46" i="58"/>
  <c r="T35" i="48"/>
  <c r="J43" i="58"/>
  <c r="X35" i="48" l="1"/>
  <c r="X39" i="48" s="1"/>
  <c r="T39" i="48"/>
  <c r="J117" i="50" s="1"/>
  <c r="J119" i="50" s="1"/>
  <c r="J121" i="50" s="1"/>
  <c r="J122" i="50" s="1"/>
  <c r="Y35" i="48"/>
  <c r="R122" i="50" l="1"/>
  <c r="J141" i="50"/>
  <c r="Y39" i="48"/>
  <c r="L68" i="58"/>
  <c r="L81" i="58" s="1"/>
  <c r="L84" i="58" s="1"/>
  <c r="L86" i="58" s="1"/>
  <c r="M101" i="47" l="1"/>
  <c r="T21" i="48" l="1"/>
  <c r="X21" i="48" l="1"/>
  <c r="X25" i="48" s="1"/>
  <c r="Y25" i="48" s="1"/>
  <c r="Y21" i="48"/>
  <c r="T25" i="4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<sst xmlns="http://schemas.openxmlformats.org/spreadsheetml/2006/main" count="620" uniqueCount="390">
  <si>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</si>
  <si>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</si>
  <si>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</si>
  <si>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</si>
  <si>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</si>
  <si>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</si>
  <si>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</si>
  <si>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</si>
  <si>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</si>
  <si>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</si>
  <si>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</si>
  <si>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</si>
  <si>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</si>
  <si>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</si>
  <si>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</si>
  <si>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</si>
  <si>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</si>
  <si>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</si>
  <si>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</si>
  <si>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</si>
  <si>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</si>
  <si>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</si>
  <si>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</si>
  <si>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</si>
  <si>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</si>
  <si>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</si>
  <si>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</si>
  <si>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</si>
  <si>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</si>
  <si>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</si>
  <si>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</si>
  <si>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</si>
  <si>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</si>
  <si>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</si>
  <si>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</si>
  <si>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</si>
  <si>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</si>
  <si>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</si>
  <si>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</si>
  <si>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</si>
  <si>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</si>
  <si>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</si>
  <si>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</si>
  <si>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</si>
  <si>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</si>
  <si>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</si>
  <si>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</si>
  <si>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</si>
  <si>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</si>
  <si>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</si>
  <si>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</si>
  <si>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</si>
  <si>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</si>
  <si>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</si>
  <si>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</si>
  <si>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</si>
  <si>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</si>
  <si>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</si>
  <si>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</si>
  <si>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</si>
  <si>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</si>
  <si>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</si>
  <si>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</si>
  <si>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</si>
  <si>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</si>
  <si>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</si>
  <si>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</si>
  <si>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</si>
  <si>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</si>
  <si>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</si>
  <si>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</si>
  <si>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</si>
  <si>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</si>
  <si>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</si>
  <si>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</si>
  <si>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</si>
  <si>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</si>
  <si>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</si>
  <si>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</si>
  <si>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</si>
  <si>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</si>
  <si>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</si>
  <si>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</si>
  <si>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</si>
  <si>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</si>
  <si>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</si>
  <si>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</si>
  <si>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</si>
  <si>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</si>
  <si>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</si>
  <si>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</si>
  <si>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</si>
  <si>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</si>
  <si>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</si>
  <si>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</si>
  <si>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</si>
  <si>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</si>
  <si>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</si>
  <si>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</si>
  <si>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</si>
  <si>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</si>
  <si>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</si>
  <si>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</si>
  <si>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</si>
  <si>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</si>
  <si>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</si>
  <si>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</si>
  <si>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</si>
  <si>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</si>
  <si>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</si>
  <si>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</si>
  <si>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</si>
  <si>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</si>
  <si>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</si>
  <si>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</si>
  <si>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</si>
  <si>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</si>
  <si>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</si>
  <si>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</si>
  <si>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</si>
  <si>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</si>
  <si>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</si>
  <si>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</si>
  <si>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</si>
  <si>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</si>
  <si>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</si>
  <si>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</si>
  <si>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</si>
  <si>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</si>
  <si>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</si>
  <si>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</si>
  <si>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</si>
  <si>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</si>
  <si>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</si>
  <si>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</si>
  <si>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</si>
  <si>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</si>
  <si>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</si>
  <si>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</si>
  <si>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</si>
  <si>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</si>
  <si>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</si>
  <si>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</si>
  <si>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</si>
  <si>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</si>
  <si>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</si>
  <si>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</si>
  <si>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</si>
  <si>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</si>
  <si>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</si>
  <si>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</si>
  <si>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</si>
  <si>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</si>
  <si>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</si>
  <si>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</si>
  <si>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</si>
  <si>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</si>
  <si>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</si>
  <si>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</si>
  <si>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</si>
  <si>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</si>
  <si>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</si>
  <si>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</si>
  <si>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</si>
  <si>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</si>
  <si>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</si>
  <si>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</si>
  <si>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</si>
  <si>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</si>
  <si>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</si>
  <si>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</si>
  <si>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</si>
  <si>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</si>
  <si>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</si>
  <si>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</si>
  <si>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</si>
  <si>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</si>
  <si>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</si>
  <si>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</si>
  <si>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</si>
  <si>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</si>
  <si>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</si>
  <si>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</si>
  <si>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Depreciation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</si>
  <si>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</si>
  <si>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</si>
  <si>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</si>
  <si>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</si>
  <si>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</si>
  <si>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>Non-related companies</t>
  </si>
  <si>
    <t>Related  companies</t>
  </si>
  <si>
    <t xml:space="preserve">Investments in subsidiary companies 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</si>
  <si>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</si>
  <si>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</si>
  <si>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</si>
  <si>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</si>
  <si>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</si>
  <si>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</si>
  <si>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</si>
  <si>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</si>
  <si>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</si>
  <si>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</si>
  <si>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</si>
  <si>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</si>
  <si>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</si>
  <si>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</si>
  <si>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</si>
  <si>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</si>
  <si>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</si>
  <si>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</si>
  <si>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</si>
  <si>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</si>
  <si>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</si>
  <si>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</si>
  <si>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</si>
  <si>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</si>
  <si>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เงินสดคงเหลือสิ้นงวด =</t>
  </si>
  <si>
    <t>TEST  ต้อง = 0</t>
  </si>
  <si>
    <t>Retained earnings  (Deficit)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</si>
  <si>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</si>
  <si>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</si>
  <si>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</si>
  <si>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</si>
  <si>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</si>
  <si>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</si>
  <si>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Services income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</si>
  <si>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</si>
  <si>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</si>
  <si>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</si>
  <si>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</si>
  <si>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</si>
  <si>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</si>
  <si>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</si>
  <si>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</si>
  <si>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>Trade accounts receivable - related parties</t>
  </si>
  <si>
    <t>Trade accounts receivable - other parties</t>
  </si>
  <si>
    <t>Trade accounts payable - other parties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</si>
  <si>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</si>
  <si>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</si>
  <si>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</si>
  <si>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</si>
  <si>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</si>
  <si>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</si>
  <si>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</si>
  <si>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</si>
  <si>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</si>
  <si>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</si>
  <si>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</si>
  <si>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</si>
  <si>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</si>
  <si>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Accounts receivable - Other</t>
  </si>
  <si>
    <t>Other accounts receivable - related parties</t>
  </si>
  <si>
    <t>Other accounts receivable - other parties</t>
  </si>
  <si>
    <t>Cost of services</t>
  </si>
  <si>
    <t>Other accounts payable - other parties</t>
  </si>
  <si>
    <t xml:space="preserve">attributable </t>
  </si>
  <si>
    <t xml:space="preserve">Equity </t>
  </si>
  <si>
    <t>Profit (loss) before income tax</t>
  </si>
  <si>
    <t>STATEMENTS OF CHANGES IN SHAREHOLDERS' EQUITY</t>
  </si>
  <si>
    <t>Loan to other parties, (increase) decrease</t>
  </si>
  <si>
    <t>Loan to related company, (increase) decrease</t>
  </si>
  <si>
    <t>Deferred tax assets</t>
  </si>
  <si>
    <t>Accounts payable - Trade</t>
  </si>
  <si>
    <t>Deferred tax liabilities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</si>
  <si>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</si>
  <si>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</si>
  <si>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</si>
  <si>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</si>
  <si>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</si>
  <si>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</si>
  <si>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</si>
  <si>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 xml:space="preserve">  Cash Dividend paid</t>
  </si>
  <si>
    <t>Income tax expense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</si>
  <si>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</si>
  <si>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</si>
  <si>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</si>
  <si>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</si>
  <si>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</si>
  <si>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</si>
  <si>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</si>
  <si>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Investment Property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</si>
  <si>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</si>
  <si>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</si>
  <si>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</si>
  <si>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</si>
  <si>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</si>
  <si>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</si>
  <si>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</si>
  <si>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</si>
  <si>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</si>
  <si>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</si>
  <si>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</si>
  <si>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</si>
  <si>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</si>
  <si>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</si>
  <si>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</si>
  <si>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</si>
  <si>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</si>
  <si>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</si>
  <si>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Gain (loss) from</t>
  </si>
  <si>
    <t xml:space="preserve">estimate of </t>
  </si>
  <si>
    <t>actuarial</t>
  </si>
  <si>
    <t>assumptions</t>
  </si>
  <si>
    <t xml:space="preserve">   Cash dividend paid</t>
  </si>
  <si>
    <t>Share subscriptions received in advance</t>
  </si>
  <si>
    <t xml:space="preserve">  Ordinary shares increased - exercise of warrants</t>
  </si>
  <si>
    <t xml:space="preserve">  Share subscriptions received in advance</t>
  </si>
  <si>
    <t xml:space="preserve">  Appropriated to legal reserve</t>
  </si>
  <si>
    <t xml:space="preserve">   Ordinary shares increased - exercise of warrants</t>
  </si>
  <si>
    <t xml:space="preserve">   Share subscriptions received in advance</t>
  </si>
  <si>
    <t>OPERATING AND INVESTMENT  ACTIVITIES NOT AFFECTING CASH</t>
  </si>
  <si>
    <t>Other current financial assets</t>
  </si>
  <si>
    <t>Other non-current financial assets</t>
  </si>
  <si>
    <t>Other accounts payables</t>
  </si>
  <si>
    <t>Non-current provision for employee benefit</t>
  </si>
  <si>
    <t>Gain on sales from measurement of other current financial assets</t>
  </si>
  <si>
    <t>Unrealized gain from measurement of other current financial assets</t>
  </si>
  <si>
    <t>Unrealized loss from measurement of other current financial assets</t>
  </si>
  <si>
    <t>8.4</t>
  </si>
  <si>
    <t>Purchase of property and equipments</t>
  </si>
  <si>
    <t xml:space="preserve">   Ordinary shares increased - new issue</t>
  </si>
  <si>
    <t>Related  parties</t>
  </si>
  <si>
    <t>Loss on reduced value of inventory</t>
  </si>
  <si>
    <t>2.4</t>
  </si>
  <si>
    <t xml:space="preserve">  Ordinary shares increased - stock dividend</t>
  </si>
  <si>
    <t xml:space="preserve">   Ordinary shares increased - stock dividend</t>
  </si>
  <si>
    <t>Other accounts payable - related parties</t>
  </si>
  <si>
    <t>Profit (loss) before financial costs and income tax</t>
  </si>
  <si>
    <t>The accompanying interim notes to financial statements are an integral part of these interim financial statements.</t>
  </si>
  <si>
    <t xml:space="preserve">- Ordinary share 9,315,208,558  shares </t>
  </si>
  <si>
    <t>Beginning balance as at January 1, 2023</t>
  </si>
  <si>
    <t>Loss on reduced value of inventory (reversal)</t>
  </si>
  <si>
    <t xml:space="preserve">   Total comprehensive income (loss) for the period</t>
  </si>
  <si>
    <t>Total comprehensive income (loss) for the period</t>
  </si>
  <si>
    <t>Profit (loss) for the period</t>
  </si>
  <si>
    <t>(Unaudited/</t>
  </si>
  <si>
    <t>but Reviewed)</t>
  </si>
  <si>
    <t>(Audited)</t>
  </si>
  <si>
    <t>(Unaudited / but reviewed)</t>
  </si>
  <si>
    <t>CASH AND CASH EQUIVALENTS, BEGINNING OF PERIOD</t>
  </si>
  <si>
    <t>CASH AND CASH EQUIVALENTS, END OF PERIOD</t>
  </si>
  <si>
    <t>Other comprehensive income (loss) for the period, net of tax</t>
  </si>
  <si>
    <t>Lease liabilities - net</t>
  </si>
  <si>
    <t>Current portion of lease liabilities</t>
  </si>
  <si>
    <t>December 31, 2023</t>
  </si>
  <si>
    <t>Investment in associate</t>
  </si>
  <si>
    <t xml:space="preserve">Right of used assets </t>
  </si>
  <si>
    <t xml:space="preserve">Income from digital assets inventory </t>
  </si>
  <si>
    <t>Gain on sales of other non-current financial assets</t>
  </si>
  <si>
    <t>Gain on exchange rate</t>
  </si>
  <si>
    <t>Reversal for reduced value of inventory</t>
  </si>
  <si>
    <t>Share of profit (loss) from investments in associate</t>
  </si>
  <si>
    <t>Beginning balance as at January 1, 2024</t>
  </si>
  <si>
    <t>13,14,16</t>
  </si>
  <si>
    <t>Share  loss from investments in associate</t>
  </si>
  <si>
    <t xml:space="preserve">Gain (loss) from digital assets inventory </t>
  </si>
  <si>
    <t>Trade accounts payable - related parties</t>
  </si>
  <si>
    <t>Other non-current financial assets, (increase) decrease</t>
  </si>
  <si>
    <t>Short-term loan from financial institution, increase (decrease)</t>
  </si>
  <si>
    <t>14</t>
  </si>
  <si>
    <t>7 , 12</t>
  </si>
  <si>
    <t>Loan from related company, increase (decrease)</t>
  </si>
  <si>
    <t>Cash paid for lease liabilities</t>
  </si>
  <si>
    <t>15</t>
  </si>
  <si>
    <t>Digital asset inventory , Increase (decrease)</t>
  </si>
  <si>
    <t xml:space="preserve">Intangible assets </t>
  </si>
  <si>
    <t>Intangible assets , Increase (decrease)</t>
  </si>
  <si>
    <t>Property and equipment - net</t>
  </si>
  <si>
    <t xml:space="preserve">Gain from exchange digital assets inventory </t>
  </si>
  <si>
    <t xml:space="preserve">Loss from exchange digital assets inventory </t>
  </si>
  <si>
    <t>AS AT JUNE 30, 2024</t>
  </si>
  <si>
    <t>June 30, 2024</t>
  </si>
  <si>
    <t xml:space="preserve">- Ordinary share 13,156,835,895  shares in year 2023 </t>
  </si>
  <si>
    <t>- Ordinary share 13,262,835,895  shares in year 2024</t>
  </si>
  <si>
    <t>For the six-month period ended June 30</t>
  </si>
  <si>
    <t>FOR  THE SIX-MONTH PERIOD ENDED JUNE 30, 2024</t>
  </si>
  <si>
    <t>FOR  THE THREE MONTH PERIOD ENDED JUNE 30, 2024</t>
  </si>
  <si>
    <t>For the three-month period ended June 30</t>
  </si>
  <si>
    <t>Dividend income</t>
  </si>
  <si>
    <t>Ending balance as at June 30, 2023</t>
  </si>
  <si>
    <t>Ending balance as at June 30, 2024</t>
  </si>
  <si>
    <t>Ending balance as at  June 30, 2023</t>
  </si>
  <si>
    <t>Dividend received from other company</t>
  </si>
  <si>
    <t>Dividend paid by the Company</t>
  </si>
  <si>
    <t>6</t>
  </si>
  <si>
    <t>Loss on sales from measurement of other current financial assets</t>
  </si>
  <si>
    <t>Allowance for impairment of intangible assets</t>
  </si>
  <si>
    <t>Inventory</t>
  </si>
  <si>
    <t xml:space="preserve">   Cash paid to employee benefits</t>
  </si>
  <si>
    <t>Net cash from operation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</si>
</sst>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45">
    <xf numFmtId="0" fontId="0" fillId="0" borderId="0" xfId="0"/>
    <xf numFmtId="166" fontId="2" fillId="0" borderId="0" xfId="0" applyNumberFormat="1" applyFont="1"/>
    <xf numFmtId="166" fontId="2" fillId="0" borderId="0" xfId="1" applyNumberFormat="1" applyFont="1" applyFill="1" applyBorder="1"/>
    <xf numFmtId="0" fontId="2" fillId="0" borderId="0" xfId="0" applyFont="1"/>
    <xf numFmtId="43" fontId="2" fillId="0" borderId="0" xfId="1" applyFont="1" applyFill="1"/>
    <xf numFmtId="166" fontId="2" fillId="0" borderId="0" xfId="1" applyNumberFormat="1" applyFont="1" applyFill="1"/>
    <xf numFmtId="0" fontId="2" fillId="0" borderId="0" xfId="0" applyFont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Alignment="1">
      <alignment horizontal="center"/>
    </xf>
    <xf numFmtId="0" fontId="3" fillId="0" borderId="0" xfId="0" applyFont="1"/>
    <xf numFmtId="166" fontId="3" fillId="0" borderId="0" xfId="0" applyNumberFormat="1" applyFont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Font="1" applyAlignment="1">
      <alignment horizontal="center"/>
    </xf>
    <xf numFmtId="43" fontId="3" fillId="0" borderId="0" xfId="1" applyFont="1" applyFill="1"/>
    <xf numFmtId="167" fontId="3" fillId="0" borderId="0" xfId="0" applyNumberFormat="1" applyFont="1"/>
    <xf numFmtId="166" fontId="3" fillId="0" borderId="3" xfId="1" applyNumberFormat="1" applyFont="1" applyFill="1" applyBorder="1"/>
    <xf numFmtId="166" fontId="3" fillId="0" borderId="0" xfId="1" applyNumberFormat="1" applyFont="1" applyFill="1" applyBorder="1"/>
    <xf numFmtId="166" fontId="3" fillId="0" borderId="0" xfId="0" applyNumberFormat="1" applyFont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left"/>
    </xf>
    <xf numFmtId="166" fontId="3" fillId="0" borderId="0" xfId="1" applyNumberFormat="1" applyFont="1" applyFill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4" fillId="0" borderId="0" xfId="0" quotePrefix="1" applyFont="1"/>
    <xf numFmtId="0" fontId="6" fillId="0" borderId="0" xfId="0" applyFont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0" fontId="3" fillId="0" borderId="0" xfId="0" quotePrefix="1" applyFont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Border="1"/>
    <xf numFmtId="166" fontId="6" fillId="0" borderId="5" xfId="0" applyNumberFormat="1" applyFont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/>
    <xf numFmtId="167" fontId="6" fillId="0" borderId="5" xfId="0" applyNumberFormat="1" applyFont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Alignment="1">
      <alignment horizontal="right"/>
    </xf>
    <xf numFmtId="167" fontId="2" fillId="0" borderId="0" xfId="0" quotePrefix="1" applyNumberFormat="1" applyFont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Border="1"/>
    <xf numFmtId="167" fontId="2" fillId="0" borderId="7" xfId="0" applyNumberFormat="1" applyFont="1" applyBorder="1"/>
    <xf numFmtId="166" fontId="2" fillId="6" borderId="0" xfId="0" applyNumberFormat="1" applyFont="1" applyFill="1"/>
    <xf numFmtId="166" fontId="2" fillId="0" borderId="1" xfId="0" applyNumberFormat="1" applyFont="1" applyBorder="1"/>
    <xf numFmtId="166" fontId="2" fillId="0" borderId="8" xfId="0" applyNumberFormat="1" applyFont="1" applyBorder="1"/>
    <xf numFmtId="167" fontId="2" fillId="0" borderId="9" xfId="0" quotePrefix="1" applyNumberFormat="1" applyFont="1" applyBorder="1"/>
    <xf numFmtId="167" fontId="2" fillId="0" borderId="7" xfId="0" quotePrefix="1" applyNumberFormat="1" applyFont="1" applyBorder="1"/>
    <xf numFmtId="166" fontId="2" fillId="0" borderId="10" xfId="0" applyNumberFormat="1" applyFont="1" applyBorder="1"/>
    <xf numFmtId="166" fontId="2" fillId="6" borderId="0" xfId="1" applyNumberFormat="1" applyFont="1" applyFill="1"/>
    <xf numFmtId="166" fontId="2" fillId="6" borderId="0" xfId="1" applyNumberFormat="1" applyFont="1" applyFill="1" applyBorder="1"/>
    <xf numFmtId="167" fontId="2" fillId="0" borderId="11" xfId="0" quotePrefix="1" applyNumberFormat="1" applyFont="1" applyBorder="1"/>
    <xf numFmtId="166" fontId="2" fillId="0" borderId="12" xfId="0" applyNumberFormat="1" applyFont="1" applyBorder="1"/>
    <xf numFmtId="166" fontId="2" fillId="0" borderId="3" xfId="0" applyNumberFormat="1" applyFont="1" applyBorder="1"/>
    <xf numFmtId="166" fontId="2" fillId="0" borderId="4" xfId="0" applyNumberFormat="1" applyFont="1" applyBorder="1"/>
    <xf numFmtId="164" fontId="2" fillId="0" borderId="0" xfId="0" applyNumberFormat="1" applyFont="1"/>
    <xf numFmtId="166" fontId="6" fillId="0" borderId="0" xfId="1" applyNumberFormat="1" applyFont="1" applyFill="1" applyBorder="1" applyAlignment="1">
      <alignment horizontal="center"/>
    </xf>
    <xf numFmtId="166" fontId="2" fillId="7" borderId="0" xfId="0" applyNumberFormat="1" applyFont="1" applyFill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0" fontId="15" fillId="0" borderId="0" xfId="0" applyFont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Alignment="1">
      <alignment horizontal="center"/>
    </xf>
    <xf numFmtId="167" fontId="18" fillId="0" borderId="0" xfId="0" applyNumberFormat="1" applyFont="1"/>
    <xf numFmtId="0" fontId="18" fillId="0" borderId="0" xfId="0" applyFont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Border="1"/>
    <xf numFmtId="166" fontId="18" fillId="0" borderId="5" xfId="1" applyNumberFormat="1" applyFont="1" applyFill="1" applyBorder="1"/>
    <xf numFmtId="167" fontId="18" fillId="0" borderId="5" xfId="0" applyNumberFormat="1" applyFont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Alignment="1">
      <alignment horizontal="center"/>
    </xf>
    <xf numFmtId="173" fontId="18" fillId="0" borderId="0" xfId="0" applyNumberFormat="1" applyFont="1" applyAlignment="1">
      <alignment horizontal="right"/>
    </xf>
    <xf numFmtId="166" fontId="18" fillId="0" borderId="0" xfId="1" applyNumberFormat="1" applyFont="1" applyFill="1"/>
    <xf numFmtId="0" fontId="18" fillId="0" borderId="5" xfId="0" applyFont="1" applyBorder="1"/>
    <xf numFmtId="167" fontId="18" fillId="0" borderId="0" xfId="0" quotePrefix="1" applyNumberFormat="1" applyFont="1"/>
    <xf numFmtId="166" fontId="18" fillId="0" borderId="9" xfId="1" applyNumberFormat="1" applyFont="1" applyFill="1" applyBorder="1"/>
    <xf numFmtId="166" fontId="18" fillId="0" borderId="13" xfId="0" applyNumberFormat="1" applyFont="1" applyBorder="1"/>
    <xf numFmtId="166" fontId="18" fillId="0" borderId="13" xfId="1" applyNumberFormat="1" applyFont="1" applyFill="1" applyBorder="1"/>
    <xf numFmtId="166" fontId="18" fillId="0" borderId="6" xfId="0" applyNumberFormat="1" applyFont="1" applyBorder="1"/>
    <xf numFmtId="0" fontId="18" fillId="0" borderId="10" xfId="0" applyFont="1" applyBorder="1"/>
    <xf numFmtId="166" fontId="18" fillId="0" borderId="7" xfId="1" applyNumberFormat="1" applyFont="1" applyFill="1" applyBorder="1"/>
    <xf numFmtId="166" fontId="18" fillId="0" borderId="10" xfId="0" applyNumberFormat="1" applyFont="1" applyBorder="1"/>
    <xf numFmtId="0" fontId="18" fillId="0" borderId="1" xfId="0" applyFont="1" applyBorder="1"/>
    <xf numFmtId="166" fontId="18" fillId="0" borderId="3" xfId="1" applyNumberFormat="1" applyFont="1" applyFill="1" applyBorder="1"/>
    <xf numFmtId="0" fontId="19" fillId="0" borderId="0" xfId="0" applyFont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/>
    <xf numFmtId="167" fontId="18" fillId="0" borderId="0" xfId="1" applyNumberFormat="1" applyFont="1" applyFill="1" applyBorder="1"/>
    <xf numFmtId="0" fontId="18" fillId="0" borderId="0" xfId="0" quotePrefix="1" applyFont="1"/>
    <xf numFmtId="0" fontId="21" fillId="0" borderId="0" xfId="0" quotePrefix="1" applyFont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38" fontId="3" fillId="0" borderId="0" xfId="0" applyNumberFormat="1" applyFont="1"/>
    <xf numFmtId="166" fontId="17" fillId="0" borderId="0" xfId="0" applyNumberFormat="1" applyFont="1" applyAlignment="1">
      <alignment horizontal="center"/>
    </xf>
    <xf numFmtId="43" fontId="7" fillId="0" borderId="0" xfId="1" applyFont="1" applyFill="1"/>
    <xf numFmtId="43" fontId="7" fillId="0" borderId="0" xfId="1" applyFont="1" applyFill="1" applyBorder="1"/>
    <xf numFmtId="167" fontId="17" fillId="0" borderId="0" xfId="0" applyNumberFormat="1" applyFont="1"/>
    <xf numFmtId="166" fontId="22" fillId="0" borderId="0" xfId="0" applyNumberFormat="1" applyFont="1" applyAlignment="1">
      <alignment horizontal="center"/>
    </xf>
    <xf numFmtId="0" fontId="23" fillId="0" borderId="0" xfId="0" applyFont="1"/>
    <xf numFmtId="43" fontId="18" fillId="0" borderId="0" xfId="1" applyFont="1" applyFill="1" applyBorder="1"/>
    <xf numFmtId="167" fontId="22" fillId="0" borderId="0" xfId="0" applyNumberFormat="1" applyFont="1"/>
    <xf numFmtId="166" fontId="18" fillId="0" borderId="0" xfId="0" applyNumberFormat="1" applyFont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43" fontId="23" fillId="0" borderId="0" xfId="1" applyFont="1" applyFill="1" applyBorder="1"/>
    <xf numFmtId="49" fontId="3" fillId="0" borderId="0" xfId="1" applyNumberFormat="1" applyFont="1" applyFill="1" applyBorder="1" applyAlignment="1">
      <alignment horizontal="center"/>
    </xf>
    <xf numFmtId="166" fontId="3" fillId="0" borderId="13" xfId="0" applyNumberFormat="1" applyFont="1" applyBorder="1" applyAlignment="1">
      <alignment horizontal="center"/>
    </xf>
    <xf numFmtId="174" fontId="16" fillId="0" borderId="0" xfId="1" applyNumberFormat="1" applyFont="1" applyFill="1" applyBorder="1"/>
    <xf numFmtId="0" fontId="25" fillId="0" borderId="5" xfId="0" applyFont="1" applyBorder="1" applyAlignment="1">
      <alignment horizontal="center"/>
    </xf>
    <xf numFmtId="166" fontId="3" fillId="0" borderId="13" xfId="0" applyNumberFormat="1" applyFont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0" borderId="0" xfId="0" applyNumberFormat="1" applyFont="1"/>
    <xf numFmtId="43" fontId="3" fillId="0" borderId="5" xfId="1" applyFont="1" applyFill="1" applyBorder="1"/>
    <xf numFmtId="43" fontId="3" fillId="0" borderId="13" xfId="1" applyFont="1" applyFill="1" applyBorder="1"/>
    <xf numFmtId="43" fontId="3" fillId="0" borderId="3" xfId="1" applyFont="1" applyFill="1" applyBorder="1"/>
    <xf numFmtId="43" fontId="3" fillId="0" borderId="0" xfId="1" applyFont="1" applyFill="1" applyAlignment="1">
      <alignment horizontal="right"/>
    </xf>
    <xf numFmtId="43" fontId="3" fillId="0" borderId="4" xfId="1" applyFont="1" applyFill="1" applyBorder="1"/>
    <xf numFmtId="43" fontId="18" fillId="0" borderId="5" xfId="1" applyFont="1" applyFill="1" applyBorder="1"/>
    <xf numFmtId="43" fontId="18" fillId="0" borderId="14" xfId="1" applyFont="1" applyFill="1" applyBorder="1"/>
    <xf numFmtId="43" fontId="18" fillId="0" borderId="0" xfId="0" applyNumberFormat="1" applyFont="1"/>
    <xf numFmtId="43" fontId="6" fillId="0" borderId="0" xfId="1" applyFont="1" applyFill="1" applyBorder="1" applyAlignment="1">
      <alignment horizontal="center"/>
    </xf>
    <xf numFmtId="43" fontId="3" fillId="0" borderId="0" xfId="0" applyNumberFormat="1" applyFont="1" applyAlignment="1">
      <alignment horizontal="center"/>
    </xf>
    <xf numFmtId="43" fontId="3" fillId="0" borderId="14" xfId="1" applyFont="1" applyFill="1" applyBorder="1"/>
    <xf numFmtId="43" fontId="3" fillId="0" borderId="5" xfId="1" applyFont="1" applyFill="1" applyBorder="1" applyAlignment="1">
      <alignment horizontal="right"/>
    </xf>
    <xf numFmtId="43" fontId="16" fillId="0" borderId="0" xfId="1" applyFont="1" applyFill="1" applyBorder="1"/>
    <xf numFmtId="43" fontId="16" fillId="0" borderId="0" xfId="1" applyFont="1" applyFill="1"/>
    <xf numFmtId="43" fontId="3" fillId="0" borderId="3" xfId="1" applyFont="1" applyFill="1" applyBorder="1" applyAlignment="1">
      <alignment horizontal="right"/>
    </xf>
    <xf numFmtId="43" fontId="3" fillId="0" borderId="4" xfId="1" applyFont="1" applyFill="1" applyBorder="1" applyAlignment="1">
      <alignment horizontal="right"/>
    </xf>
    <xf numFmtId="165" fontId="3" fillId="0" borderId="15" xfId="1" applyNumberFormat="1" applyFont="1" applyFill="1" applyBorder="1"/>
    <xf numFmtId="0" fontId="18" fillId="0" borderId="5" xfId="0" applyFont="1" applyBorder="1" applyAlignment="1">
      <alignment horizontal="center"/>
    </xf>
    <xf numFmtId="166" fontId="25" fillId="0" borderId="0" xfId="0" applyNumberFormat="1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/>
    <xf numFmtId="176" fontId="3" fillId="0" borderId="14" xfId="1" applyNumberFormat="1" applyFont="1" applyFill="1" applyBorder="1"/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43" fontId="3" fillId="0" borderId="0" xfId="0" applyNumberFormat="1" applyFont="1" applyAlignment="1">
      <alignment horizontal="right"/>
    </xf>
    <xf numFmtId="43" fontId="3" fillId="0" borderId="5" xfId="0" applyNumberFormat="1" applyFont="1" applyBorder="1" applyAlignment="1">
      <alignment horizontal="right"/>
    </xf>
    <xf numFmtId="0" fontId="2" fillId="0" borderId="3" xfId="0" quotePrefix="1" applyFont="1" applyBorder="1" applyAlignment="1">
      <alignment horizontal="center"/>
    </xf>
    <xf numFmtId="0" fontId="2" fillId="0" borderId="0" xfId="0" quotePrefix="1" applyFont="1" applyAlignment="1">
      <alignment horizontal="center"/>
    </xf>
    <xf numFmtId="0" fontId="2" fillId="0" borderId="3" xfId="0" applyFont="1" applyBorder="1" applyAlignment="1">
      <alignment horizontal="center"/>
    </xf>
    <xf numFmtId="43" fontId="2" fillId="0" borderId="0" xfId="0" applyNumberFormat="1" applyFont="1"/>
    <xf numFmtId="43" fontId="3" fillId="0" borderId="14" xfId="0" applyNumberFormat="1" applyFont="1" applyBorder="1" applyAlignment="1">
      <alignment horizontal="right"/>
    </xf>
    <xf numFmtId="168" fontId="3" fillId="0" borderId="0" xfId="0" applyNumberFormat="1" applyFont="1" applyAlignment="1">
      <alignment horizontal="center"/>
    </xf>
    <xf numFmtId="43" fontId="2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166" fontId="17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166" fontId="3" fillId="0" borderId="5" xfId="0" applyNumberFormat="1" applyFont="1" applyBorder="1"/>
    <xf numFmtId="167" fontId="3" fillId="0" borderId="0" xfId="0" applyNumberFormat="1" applyFont="1" applyAlignment="1">
      <alignment horizontal="center"/>
    </xf>
    <xf numFmtId="167" fontId="7" fillId="0" borderId="0" xfId="0" applyNumberFormat="1" applyFont="1"/>
    <xf numFmtId="166" fontId="7" fillId="0" borderId="0" xfId="0" applyNumberFormat="1" applyFont="1"/>
    <xf numFmtId="0" fontId="7" fillId="0" borderId="0" xfId="0" applyFont="1" applyAlignment="1">
      <alignment horizontal="center"/>
    </xf>
    <xf numFmtId="166" fontId="25" fillId="0" borderId="0" xfId="0" applyNumberFormat="1" applyFont="1"/>
    <xf numFmtId="49" fontId="3" fillId="0" borderId="0" xfId="0" applyNumberFormat="1" applyFont="1" applyAlignment="1">
      <alignment horizontal="center"/>
    </xf>
    <xf numFmtId="166" fontId="28" fillId="0" borderId="0" xfId="0" applyNumberFormat="1" applyFont="1"/>
    <xf numFmtId="43" fontId="3" fillId="0" borderId="5" xfId="0" applyNumberFormat="1" applyFont="1" applyBorder="1"/>
    <xf numFmtId="166" fontId="3" fillId="0" borderId="0" xfId="9" applyNumberFormat="1" applyFont="1"/>
    <xf numFmtId="43" fontId="3" fillId="0" borderId="4" xfId="0" applyNumberFormat="1" applyFont="1" applyBorder="1" applyAlignment="1">
      <alignment horizontal="right"/>
    </xf>
    <xf numFmtId="166" fontId="27" fillId="0" borderId="0" xfId="0" applyNumberFormat="1" applyFont="1"/>
    <xf numFmtId="2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right"/>
    </xf>
    <xf numFmtId="176" fontId="3" fillId="0" borderId="0" xfId="0" applyNumberFormat="1" applyFont="1"/>
    <xf numFmtId="165" fontId="2" fillId="0" borderId="0" xfId="0" applyNumberFormat="1" applyFont="1"/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29" fillId="0" borderId="0" xfId="0" applyFont="1"/>
    <xf numFmtId="0" fontId="7" fillId="0" borderId="0" xfId="0" applyFont="1"/>
    <xf numFmtId="0" fontId="16" fillId="0" borderId="0" xfId="0" applyFont="1" applyAlignment="1">
      <alignment horizontal="center"/>
    </xf>
    <xf numFmtId="43" fontId="16" fillId="0" borderId="0" xfId="0" applyNumberFormat="1" applyFont="1"/>
    <xf numFmtId="167" fontId="16" fillId="0" borderId="0" xfId="0" applyNumberFormat="1" applyFont="1"/>
    <xf numFmtId="166" fontId="16" fillId="0" borderId="0" xfId="0" applyNumberFormat="1" applyFont="1"/>
    <xf numFmtId="166" fontId="15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166" fontId="3" fillId="0" borderId="0" xfId="1" applyNumberFormat="1" applyFont="1" applyFill="1" applyAlignment="1">
      <alignment horizontal="center" vertical="center"/>
    </xf>
    <xf numFmtId="166" fontId="3" fillId="0" borderId="0" xfId="1" applyNumberFormat="1" applyFont="1" applyFill="1" applyAlignment="1">
      <alignment horizontal="center" wrapText="1"/>
    </xf>
    <xf numFmtId="166" fontId="17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Alignment="1">
      <alignment horizontal="center"/>
    </xf>
    <xf numFmtId="166" fontId="2" fillId="0" borderId="3" xfId="0" applyNumberFormat="1" applyFont="1" applyBorder="1" applyAlignment="1">
      <alignment horizontal="center"/>
    </xf>
    <xf numFmtId="166" fontId="3" fillId="0" borderId="0" xfId="1" applyNumberFormat="1" applyFont="1" applyFill="1" applyBorder="1" applyAlignment="1">
      <alignment horizontal="right"/>
    </xf>
    <xf numFmtId="166" fontId="7" fillId="0" borderId="0" xfId="0" applyNumberFormat="1" applyFont="1" applyAlignment="1">
      <alignment horizontal="right"/>
    </xf>
    <xf numFmtId="167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166" fontId="3" fillId="0" borderId="3" xfId="0" applyNumberFormat="1" applyFont="1" applyBorder="1" applyAlignment="1">
      <alignment horizontal="center"/>
    </xf>
    <xf numFmtId="166" fontId="18" fillId="0" borderId="5" xfId="0" applyNumberFormat="1" applyFont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T141"/>
  <sheetViews>
    <sheetView tabSelected="1" view="pageBreakPreview" topLeftCell="A2" zoomScaleNormal="100" zoomScaleSheetLayoutView="100" workbookViewId="0">
      <selection activeCell="C9" sqref="C9"/>
    </sheetView>
  </sheetViews>
  <sheetFormatPr defaultColWidth="9.140625" defaultRowHeight="18" x14ac:dyDescent="0.4"/>
  <cols>
    <col min="1" max="2" width="2.7109375" style="3" customWidth="1"/>
    <col min="3" max="3" width="33.85546875" style="3" customWidth="1"/>
    <col min="4" max="4" width="5.42578125" style="6" customWidth="1"/>
    <col min="5" max="5" width="0.85546875" style="6" customWidth="1"/>
    <col min="6" max="6" width="12.7109375" style="6" customWidth="1"/>
    <col min="7" max="7" width="0.7109375" style="6" customWidth="1"/>
    <col min="8" max="8" width="13.42578125" style="6" customWidth="1"/>
    <col min="9" max="9" width="0.85546875" style="3" customWidth="1"/>
    <col min="10" max="10" width="12.85546875" style="5" customWidth="1"/>
    <col min="11" max="11" width="0.7109375" style="5" customWidth="1"/>
    <col min="12" max="12" width="13.5703125" style="5" customWidth="1"/>
    <col min="13" max="13" width="2.7109375" style="3" customWidth="1"/>
    <col min="14" max="14" width="15.7109375" style="3" hidden="1" customWidth="1"/>
    <col min="15" max="15" width="2.7109375" style="3" hidden="1" customWidth="1"/>
    <col min="16" max="16" width="13.85546875" style="3" hidden="1" customWidth="1"/>
    <col min="17" max="17" width="2.7109375" style="3" hidden="1" customWidth="1"/>
    <col min="18" max="18" width="14.5703125" style="3" hidden="1" customWidth="1"/>
    <col min="19" max="19" width="5" style="3" hidden="1" customWidth="1"/>
    <col min="20" max="20" width="0" style="3" hidden="1" customWidth="1"/>
    <col min="21" max="16384" width="9.140625" style="3"/>
  </cols>
  <sheetData>
    <row r="1" spans="1:13" hidden="1" x14ac:dyDescent="0.4"/>
    <row r="3" spans="1:13" x14ac:dyDescent="0.4">
      <c r="A3" s="226" t="s">
        <v>131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6"/>
    </row>
    <row r="4" spans="1:13" x14ac:dyDescent="0.4">
      <c r="A4" s="222" t="s">
        <v>238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</row>
    <row r="5" spans="1:13" s="26" customFormat="1" x14ac:dyDescent="0.4">
      <c r="A5" s="222" t="s">
        <v>370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</row>
    <row r="6" spans="1:13" x14ac:dyDescent="0.4">
      <c r="A6" s="13"/>
      <c r="B6" s="13"/>
      <c r="C6" s="13"/>
      <c r="F6" s="223" t="s">
        <v>132</v>
      </c>
      <c r="G6" s="223"/>
      <c r="H6" s="223"/>
      <c r="I6" s="223"/>
      <c r="J6" s="223"/>
      <c r="K6" s="223"/>
      <c r="L6" s="223"/>
    </row>
    <row r="7" spans="1:13" ht="18.75" x14ac:dyDescent="0.4">
      <c r="A7" s="9"/>
      <c r="B7" s="9"/>
      <c r="C7" s="9"/>
      <c r="F7" s="220" t="s">
        <v>205</v>
      </c>
      <c r="G7" s="220"/>
      <c r="H7" s="220"/>
      <c r="I7" s="79"/>
      <c r="J7" s="220" t="s">
        <v>206</v>
      </c>
      <c r="K7" s="220"/>
      <c r="L7" s="220"/>
    </row>
    <row r="8" spans="1:13" x14ac:dyDescent="0.4">
      <c r="A8" s="9"/>
      <c r="B8" s="9"/>
      <c r="C8" s="9"/>
      <c r="D8" s="183" t="s">
        <v>133</v>
      </c>
      <c r="F8" s="186" t="s">
        <v>371</v>
      </c>
      <c r="G8" s="187"/>
      <c r="H8" s="186" t="s">
        <v>344</v>
      </c>
      <c r="J8" s="188" t="str">
        <f>F8</f>
        <v>June 30, 2024</v>
      </c>
      <c r="K8" s="6"/>
      <c r="L8" s="188" t="str">
        <f>H8</f>
        <v>December 31, 2023</v>
      </c>
    </row>
    <row r="9" spans="1:13" ht="18.600000000000001" customHeight="1" x14ac:dyDescent="0.4">
      <c r="A9" s="9"/>
      <c r="B9" s="9"/>
      <c r="C9" s="9"/>
      <c r="F9" s="187" t="s">
        <v>335</v>
      </c>
      <c r="G9" s="187"/>
      <c r="H9" s="187" t="s">
        <v>337</v>
      </c>
      <c r="J9" s="187" t="s">
        <v>335</v>
      </c>
      <c r="K9" s="187"/>
      <c r="L9" s="187" t="s">
        <v>337</v>
      </c>
    </row>
    <row r="10" spans="1:13" s="35" customFormat="1" ht="18.600000000000001" customHeight="1" x14ac:dyDescent="0.4">
      <c r="A10" s="6"/>
      <c r="B10" s="6"/>
      <c r="C10" s="6"/>
      <c r="D10" s="6"/>
      <c r="E10" s="6"/>
      <c r="F10" s="72" t="s">
        <v>336</v>
      </c>
      <c r="G10" s="128"/>
      <c r="H10" s="72"/>
      <c r="I10" s="9"/>
      <c r="J10" s="72" t="s">
        <v>336</v>
      </c>
      <c r="K10" s="128"/>
      <c r="L10" s="72"/>
    </row>
    <row r="11" spans="1:13" ht="18" customHeight="1" x14ac:dyDescent="0.4">
      <c r="A11" s="224" t="s">
        <v>136</v>
      </c>
      <c r="B11" s="224"/>
      <c r="C11" s="224"/>
      <c r="D11" s="13"/>
      <c r="E11" s="13"/>
      <c r="F11" s="20"/>
      <c r="G11" s="20"/>
      <c r="H11" s="20"/>
      <c r="J11" s="3"/>
      <c r="K11" s="3"/>
      <c r="L11" s="3"/>
    </row>
    <row r="12" spans="1:13" x14ac:dyDescent="0.4">
      <c r="A12" s="9" t="s">
        <v>134</v>
      </c>
      <c r="B12" s="9"/>
      <c r="C12" s="9"/>
      <c r="D12" s="13"/>
      <c r="E12" s="13"/>
      <c r="F12" s="8"/>
      <c r="G12" s="8"/>
      <c r="H12" s="8"/>
      <c r="I12" s="9"/>
      <c r="J12" s="11"/>
      <c r="K12" s="11"/>
      <c r="L12" s="11"/>
    </row>
    <row r="13" spans="1:13" x14ac:dyDescent="0.4">
      <c r="A13" s="9"/>
      <c r="B13" s="9" t="s">
        <v>135</v>
      </c>
      <c r="C13" s="9"/>
      <c r="D13" s="13">
        <v>3</v>
      </c>
      <c r="E13" s="13"/>
      <c r="F13" s="160">
        <v>129415815.03</v>
      </c>
      <c r="G13" s="160"/>
      <c r="H13" s="160">
        <v>414056925.31999999</v>
      </c>
      <c r="I13" s="156"/>
      <c r="J13" s="14">
        <v>25556654.370000001</v>
      </c>
      <c r="K13" s="14"/>
      <c r="L13" s="14">
        <v>290505114.75999999</v>
      </c>
    </row>
    <row r="14" spans="1:13" x14ac:dyDescent="0.4">
      <c r="A14" s="9"/>
      <c r="B14" s="9" t="s">
        <v>214</v>
      </c>
      <c r="C14" s="9"/>
      <c r="D14" s="13"/>
      <c r="E14" s="13"/>
      <c r="F14" s="160"/>
      <c r="G14" s="160"/>
      <c r="H14" s="160"/>
      <c r="I14" s="156"/>
      <c r="J14" s="14"/>
      <c r="K14" s="14"/>
      <c r="L14" s="14"/>
    </row>
    <row r="15" spans="1:13" x14ac:dyDescent="0.4">
      <c r="A15" s="9"/>
      <c r="B15" s="9"/>
      <c r="C15" s="9" t="s">
        <v>189</v>
      </c>
      <c r="D15" s="13">
        <v>4</v>
      </c>
      <c r="E15" s="13"/>
      <c r="F15" s="160">
        <v>84193631.049999997</v>
      </c>
      <c r="G15" s="160"/>
      <c r="H15" s="160">
        <v>65612398.219999999</v>
      </c>
      <c r="I15" s="156"/>
      <c r="J15" s="14">
        <v>52396455.200000003</v>
      </c>
      <c r="K15" s="14"/>
      <c r="L15" s="14">
        <v>26010000</v>
      </c>
    </row>
    <row r="16" spans="1:13" x14ac:dyDescent="0.4">
      <c r="A16" s="9"/>
      <c r="B16" s="9"/>
      <c r="C16" s="9" t="s">
        <v>190</v>
      </c>
      <c r="D16" s="13">
        <v>2.2000000000000002</v>
      </c>
      <c r="E16" s="13"/>
      <c r="F16" s="160">
        <v>0</v>
      </c>
      <c r="G16" s="160"/>
      <c r="H16" s="160">
        <v>46824.480000000003</v>
      </c>
      <c r="I16" s="156"/>
      <c r="J16" s="14">
        <v>3375000</v>
      </c>
      <c r="K16" s="14"/>
      <c r="L16" s="14">
        <v>46824.480000000003</v>
      </c>
    </row>
    <row r="17" spans="1:12" x14ac:dyDescent="0.4">
      <c r="A17" s="9"/>
      <c r="B17" s="9" t="s">
        <v>250</v>
      </c>
      <c r="C17" s="9"/>
      <c r="D17" s="13"/>
      <c r="E17" s="13"/>
      <c r="F17" s="160"/>
      <c r="G17" s="160"/>
      <c r="H17" s="160"/>
      <c r="I17" s="156"/>
      <c r="J17" s="14"/>
      <c r="K17" s="14"/>
      <c r="L17" s="14"/>
    </row>
    <row r="18" spans="1:12" x14ac:dyDescent="0.4">
      <c r="A18" s="9"/>
      <c r="B18" s="9"/>
      <c r="C18" s="9" t="s">
        <v>189</v>
      </c>
      <c r="D18" s="13">
        <v>5</v>
      </c>
      <c r="E18" s="13"/>
      <c r="F18" s="160">
        <v>18395097.73</v>
      </c>
      <c r="G18" s="160"/>
      <c r="H18" s="160">
        <v>97235520.530000001</v>
      </c>
      <c r="I18" s="156"/>
      <c r="J18" s="14">
        <v>3625406.59</v>
      </c>
      <c r="K18" s="14"/>
      <c r="L18" s="14">
        <v>31575704.300000001</v>
      </c>
    </row>
    <row r="19" spans="1:12" x14ac:dyDescent="0.4">
      <c r="A19" s="9"/>
      <c r="B19" s="9"/>
      <c r="C19" s="9" t="s">
        <v>190</v>
      </c>
      <c r="D19" s="13">
        <v>2.2999999999999998</v>
      </c>
      <c r="E19" s="13"/>
      <c r="F19" s="160">
        <v>0</v>
      </c>
      <c r="G19" s="160"/>
      <c r="H19" s="160">
        <v>0</v>
      </c>
      <c r="I19" s="156"/>
      <c r="J19" s="14">
        <v>74061</v>
      </c>
      <c r="K19" s="14"/>
      <c r="L19" s="14">
        <v>1632371.71</v>
      </c>
    </row>
    <row r="20" spans="1:12" x14ac:dyDescent="0.4">
      <c r="A20" s="9"/>
      <c r="B20" s="9" t="s">
        <v>387</v>
      </c>
      <c r="C20" s="9"/>
      <c r="D20" s="13">
        <v>6</v>
      </c>
      <c r="E20" s="13"/>
      <c r="F20" s="160">
        <v>1344186193.97</v>
      </c>
      <c r="G20" s="160"/>
      <c r="H20" s="160">
        <v>859324205.49000001</v>
      </c>
      <c r="I20" s="156"/>
      <c r="J20" s="14">
        <v>433480.14</v>
      </c>
      <c r="K20" s="14"/>
      <c r="L20" s="14">
        <v>321589.84999999998</v>
      </c>
    </row>
    <row r="21" spans="1:12" x14ac:dyDescent="0.4">
      <c r="A21" s="9"/>
      <c r="B21" s="9" t="s">
        <v>202</v>
      </c>
      <c r="C21" s="9"/>
      <c r="D21" s="13"/>
      <c r="E21" s="13"/>
      <c r="F21" s="160"/>
      <c r="G21" s="160"/>
      <c r="H21" s="160"/>
      <c r="I21" s="14"/>
      <c r="J21" s="14"/>
      <c r="K21" s="14"/>
      <c r="L21" s="14"/>
    </row>
    <row r="22" spans="1:12" x14ac:dyDescent="0.4">
      <c r="A22" s="9"/>
      <c r="B22" s="9"/>
      <c r="C22" s="9" t="s">
        <v>189</v>
      </c>
      <c r="D22" s="13">
        <v>7</v>
      </c>
      <c r="E22" s="13"/>
      <c r="F22" s="160">
        <v>276150000</v>
      </c>
      <c r="G22" s="160"/>
      <c r="H22" s="160">
        <v>425000000</v>
      </c>
      <c r="I22" s="14"/>
      <c r="J22" s="160">
        <v>276150000</v>
      </c>
      <c r="K22" s="160"/>
      <c r="L22" s="160">
        <v>425000000</v>
      </c>
    </row>
    <row r="23" spans="1:12" x14ac:dyDescent="0.4">
      <c r="A23" s="9"/>
      <c r="B23" s="9"/>
      <c r="C23" s="9" t="s">
        <v>190</v>
      </c>
      <c r="D23" s="13">
        <v>2.4</v>
      </c>
      <c r="E23" s="13"/>
      <c r="F23" s="160">
        <v>0</v>
      </c>
      <c r="G23" s="160"/>
      <c r="H23" s="160">
        <v>0</v>
      </c>
      <c r="I23" s="14"/>
      <c r="J23" s="184">
        <v>1821124994.8699999</v>
      </c>
      <c r="K23" s="184"/>
      <c r="L23" s="184">
        <v>1608007642.0799999</v>
      </c>
    </row>
    <row r="24" spans="1:12" x14ac:dyDescent="0.4">
      <c r="A24" s="9"/>
      <c r="B24" s="9" t="s">
        <v>311</v>
      </c>
      <c r="C24" s="9"/>
      <c r="D24" s="13">
        <v>8</v>
      </c>
      <c r="E24" s="13"/>
      <c r="F24" s="160">
        <v>848918019.46000004</v>
      </c>
      <c r="G24" s="160"/>
      <c r="H24" s="160">
        <v>774831673.69000006</v>
      </c>
      <c r="I24" s="156"/>
      <c r="J24" s="14">
        <v>148117381.25</v>
      </c>
      <c r="K24" s="14"/>
      <c r="L24" s="14">
        <v>91555746.549999997</v>
      </c>
    </row>
    <row r="25" spans="1:12" x14ac:dyDescent="0.4">
      <c r="A25" s="9"/>
      <c r="B25" s="9" t="s">
        <v>137</v>
      </c>
      <c r="C25" s="9"/>
      <c r="D25" s="13"/>
      <c r="E25" s="13"/>
      <c r="F25" s="160"/>
      <c r="G25" s="160"/>
      <c r="H25" s="160"/>
      <c r="I25" s="156"/>
      <c r="J25" s="14"/>
      <c r="K25" s="14"/>
      <c r="L25" s="14"/>
    </row>
    <row r="26" spans="1:12" x14ac:dyDescent="0.4">
      <c r="A26" s="9"/>
      <c r="B26" s="9"/>
      <c r="C26" s="9" t="s">
        <v>246</v>
      </c>
      <c r="D26" s="13"/>
      <c r="E26" s="13"/>
      <c r="F26" s="160">
        <v>8714194</v>
      </c>
      <c r="G26" s="160"/>
      <c r="H26" s="160">
        <v>6571771.6500000004</v>
      </c>
      <c r="I26" s="156"/>
      <c r="J26" s="14">
        <v>4611861.45</v>
      </c>
      <c r="K26" s="14"/>
      <c r="L26" s="14">
        <v>1258988.22</v>
      </c>
    </row>
    <row r="27" spans="1:12" x14ac:dyDescent="0.4">
      <c r="A27" s="9"/>
      <c r="B27" s="9"/>
      <c r="C27" s="9" t="s">
        <v>141</v>
      </c>
      <c r="D27" s="13"/>
      <c r="E27" s="13"/>
      <c r="F27" s="184">
        <v>1630027.13</v>
      </c>
      <c r="G27" s="184"/>
      <c r="H27" s="184">
        <v>707871.65</v>
      </c>
      <c r="I27" s="156"/>
      <c r="J27" s="14">
        <v>395033.25</v>
      </c>
      <c r="K27" s="14"/>
      <c r="L27" s="14">
        <v>0</v>
      </c>
    </row>
    <row r="28" spans="1:12" x14ac:dyDescent="0.4">
      <c r="A28" s="9"/>
      <c r="B28" s="9"/>
      <c r="C28" s="9" t="s">
        <v>143</v>
      </c>
      <c r="D28" s="13"/>
      <c r="E28" s="13"/>
      <c r="F28" s="159">
        <f>SUM(F13:F27)</f>
        <v>2711602978.3699999</v>
      </c>
      <c r="G28" s="21"/>
      <c r="H28" s="159">
        <f>SUM(H13:H27)</f>
        <v>2643387191.0300002</v>
      </c>
      <c r="I28" s="156"/>
      <c r="J28" s="159">
        <f>SUM(J13:J27)</f>
        <v>2335860328.1199999</v>
      </c>
      <c r="K28" s="21"/>
      <c r="L28" s="159">
        <f>SUM(L13:L27)</f>
        <v>2475913981.9499998</v>
      </c>
    </row>
    <row r="29" spans="1:12" x14ac:dyDescent="0.4">
      <c r="A29" s="9"/>
      <c r="B29" s="9"/>
      <c r="C29" s="9"/>
      <c r="D29" s="13"/>
      <c r="E29" s="13"/>
      <c r="F29" s="184"/>
      <c r="G29" s="184"/>
      <c r="H29" s="184"/>
      <c r="I29" s="156"/>
      <c r="J29" s="14"/>
      <c r="K29" s="14"/>
      <c r="L29" s="14"/>
    </row>
    <row r="30" spans="1:12" x14ac:dyDescent="0.4">
      <c r="A30" s="9" t="s">
        <v>139</v>
      </c>
      <c r="B30" s="9"/>
      <c r="C30" s="9"/>
      <c r="D30" s="13"/>
      <c r="E30" s="13"/>
      <c r="F30" s="184"/>
      <c r="G30" s="184"/>
      <c r="H30" s="184"/>
      <c r="I30" s="156"/>
      <c r="J30" s="14"/>
      <c r="K30" s="14"/>
      <c r="L30" s="14"/>
    </row>
    <row r="31" spans="1:12" hidden="1" x14ac:dyDescent="0.4">
      <c r="A31" s="9"/>
      <c r="B31" s="9" t="s">
        <v>210</v>
      </c>
      <c r="C31" s="9"/>
      <c r="D31" s="13"/>
      <c r="E31" s="13"/>
      <c r="F31" s="184"/>
      <c r="G31" s="184"/>
      <c r="H31" s="184"/>
      <c r="I31" s="156"/>
      <c r="J31" s="184"/>
      <c r="K31" s="184"/>
      <c r="L31" s="184"/>
    </row>
    <row r="32" spans="1:12" x14ac:dyDescent="0.4">
      <c r="A32" s="9"/>
      <c r="B32" s="127" t="s">
        <v>191</v>
      </c>
      <c r="C32" s="9"/>
      <c r="D32" s="13">
        <v>9</v>
      </c>
      <c r="E32" s="13"/>
      <c r="F32" s="160">
        <v>0</v>
      </c>
      <c r="G32" s="160"/>
      <c r="H32" s="160">
        <v>0</v>
      </c>
      <c r="I32" s="156"/>
      <c r="J32" s="14">
        <v>261044600</v>
      </c>
      <c r="K32" s="14"/>
      <c r="L32" s="14">
        <v>261044600</v>
      </c>
    </row>
    <row r="33" spans="1:12" x14ac:dyDescent="0.4">
      <c r="A33" s="9"/>
      <c r="B33" s="127" t="s">
        <v>345</v>
      </c>
      <c r="C33" s="9"/>
      <c r="D33" s="13">
        <v>10</v>
      </c>
      <c r="E33" s="13"/>
      <c r="F33" s="160">
        <v>63202452.100000001</v>
      </c>
      <c r="G33" s="160"/>
      <c r="H33" s="160">
        <v>76785727</v>
      </c>
      <c r="I33" s="156"/>
      <c r="J33" s="14">
        <v>63202452.100000001</v>
      </c>
      <c r="K33" s="14"/>
      <c r="L33" s="14">
        <v>76785727</v>
      </c>
    </row>
    <row r="34" spans="1:12" x14ac:dyDescent="0.4">
      <c r="A34" s="9"/>
      <c r="B34" s="127" t="s">
        <v>312</v>
      </c>
      <c r="C34" s="9"/>
      <c r="D34" s="13">
        <v>11</v>
      </c>
      <c r="E34" s="13"/>
      <c r="F34" s="160">
        <v>285000625.18000001</v>
      </c>
      <c r="G34" s="160"/>
      <c r="H34" s="160">
        <v>285000580.37</v>
      </c>
      <c r="I34" s="156"/>
      <c r="J34" s="14">
        <v>285000000</v>
      </c>
      <c r="K34" s="14"/>
      <c r="L34" s="14">
        <v>285000000</v>
      </c>
    </row>
    <row r="35" spans="1:12" x14ac:dyDescent="0.4">
      <c r="A35" s="9"/>
      <c r="B35" s="127" t="s">
        <v>290</v>
      </c>
      <c r="C35" s="9"/>
      <c r="D35" s="13">
        <v>12</v>
      </c>
      <c r="E35" s="13"/>
      <c r="F35" s="160">
        <v>391500000</v>
      </c>
      <c r="G35" s="160"/>
      <c r="H35" s="160">
        <v>391500000</v>
      </c>
      <c r="I35" s="156"/>
      <c r="J35" s="14">
        <v>391500000</v>
      </c>
      <c r="K35" s="14"/>
      <c r="L35" s="14">
        <v>391500000</v>
      </c>
    </row>
    <row r="36" spans="1:12" x14ac:dyDescent="0.4">
      <c r="A36" s="9"/>
      <c r="B36" s="127" t="s">
        <v>280</v>
      </c>
      <c r="C36" s="9"/>
      <c r="D36" s="13">
        <v>13</v>
      </c>
      <c r="E36" s="13"/>
      <c r="F36" s="184">
        <v>4951091.67</v>
      </c>
      <c r="G36" s="184"/>
      <c r="H36" s="184">
        <v>5169977.8499999996</v>
      </c>
      <c r="I36" s="156"/>
      <c r="J36" s="14">
        <v>4951091.67</v>
      </c>
      <c r="K36" s="14"/>
      <c r="L36" s="14">
        <v>5169977.8499999996</v>
      </c>
    </row>
    <row r="37" spans="1:12" x14ac:dyDescent="0.4">
      <c r="A37" s="9"/>
      <c r="B37" s="127" t="s">
        <v>367</v>
      </c>
      <c r="C37" s="9"/>
      <c r="D37" s="13">
        <v>14</v>
      </c>
      <c r="E37" s="13"/>
      <c r="F37" s="184">
        <v>27996474.129999999</v>
      </c>
      <c r="G37" s="184"/>
      <c r="H37" s="184">
        <v>32867401.879999999</v>
      </c>
      <c r="I37" s="156"/>
      <c r="J37" s="14">
        <v>25434997.800000001</v>
      </c>
      <c r="K37" s="14"/>
      <c r="L37" s="14">
        <v>28295052.149999999</v>
      </c>
    </row>
    <row r="38" spans="1:12" x14ac:dyDescent="0.4">
      <c r="A38" s="9"/>
      <c r="B38" s="127" t="s">
        <v>365</v>
      </c>
      <c r="C38" s="9"/>
      <c r="D38" s="13">
        <v>15</v>
      </c>
      <c r="E38" s="13"/>
      <c r="F38" s="184">
        <v>95227998.609999999</v>
      </c>
      <c r="G38" s="184"/>
      <c r="H38" s="184">
        <v>17578939.789999999</v>
      </c>
      <c r="I38" s="156"/>
      <c r="J38" s="14">
        <v>0</v>
      </c>
      <c r="K38" s="14"/>
      <c r="L38" s="14">
        <v>0</v>
      </c>
    </row>
    <row r="39" spans="1:12" x14ac:dyDescent="0.4">
      <c r="A39" s="9"/>
      <c r="B39" s="127" t="s">
        <v>346</v>
      </c>
      <c r="C39" s="9"/>
      <c r="D39" s="13">
        <v>16</v>
      </c>
      <c r="E39" s="13"/>
      <c r="F39" s="184">
        <v>859655.66</v>
      </c>
      <c r="G39" s="184"/>
      <c r="H39" s="184">
        <v>1254749.9099999999</v>
      </c>
      <c r="I39" s="156"/>
      <c r="J39" s="14">
        <v>859655.66</v>
      </c>
      <c r="K39" s="14"/>
      <c r="L39" s="14">
        <v>1254749.9099999999</v>
      </c>
    </row>
    <row r="40" spans="1:12" x14ac:dyDescent="0.4">
      <c r="A40" s="9"/>
      <c r="B40" s="127" t="s">
        <v>261</v>
      </c>
      <c r="C40" s="9"/>
      <c r="D40" s="13">
        <v>17.3</v>
      </c>
      <c r="E40" s="13"/>
      <c r="F40" s="184">
        <v>106126773.45</v>
      </c>
      <c r="G40" s="184"/>
      <c r="H40" s="184">
        <v>94468075.290000007</v>
      </c>
      <c r="I40" s="156"/>
      <c r="J40" s="14">
        <v>92667157.340000004</v>
      </c>
      <c r="K40" s="14"/>
      <c r="L40" s="14">
        <v>83196025.150000006</v>
      </c>
    </row>
    <row r="41" spans="1:12" x14ac:dyDescent="0.4">
      <c r="A41" s="9"/>
      <c r="B41" s="127" t="s">
        <v>140</v>
      </c>
      <c r="C41" s="127"/>
      <c r="D41" s="13"/>
      <c r="E41" s="13"/>
      <c r="F41" s="184">
        <v>428610</v>
      </c>
      <c r="G41" s="184"/>
      <c r="H41" s="184">
        <v>428610</v>
      </c>
      <c r="I41" s="156"/>
      <c r="J41" s="14">
        <v>428610</v>
      </c>
      <c r="K41" s="14"/>
      <c r="L41" s="14">
        <v>428610</v>
      </c>
    </row>
    <row r="42" spans="1:12" x14ac:dyDescent="0.4">
      <c r="A42" s="9"/>
      <c r="B42" s="9"/>
      <c r="C42" s="127" t="s">
        <v>142</v>
      </c>
      <c r="D42" s="13"/>
      <c r="E42" s="13"/>
      <c r="F42" s="159">
        <f>SUM(F31:F41)</f>
        <v>975293680.79999995</v>
      </c>
      <c r="G42" s="21"/>
      <c r="H42" s="159">
        <f>SUM(H31:H41)</f>
        <v>905054062.08999991</v>
      </c>
      <c r="I42" s="156"/>
      <c r="J42" s="159">
        <f>SUM(J31:J41)</f>
        <v>1125088564.5699999</v>
      </c>
      <c r="K42" s="21"/>
      <c r="L42" s="159">
        <f>SUM(L31:L41)</f>
        <v>1132674742.0599999</v>
      </c>
    </row>
    <row r="43" spans="1:12" ht="18.75" thickBot="1" x14ac:dyDescent="0.45">
      <c r="A43" s="127" t="s">
        <v>144</v>
      </c>
      <c r="B43" s="9"/>
      <c r="C43" s="9"/>
      <c r="D43" s="13"/>
      <c r="E43" s="13"/>
      <c r="F43" s="161">
        <f>+F42+F28</f>
        <v>3686896659.1700001</v>
      </c>
      <c r="G43" s="21"/>
      <c r="H43" s="161">
        <f>+H42+H28</f>
        <v>3548441253.1199999</v>
      </c>
      <c r="I43" s="156"/>
      <c r="J43" s="161">
        <f>+J42+J28</f>
        <v>3460948892.6899996</v>
      </c>
      <c r="K43" s="21"/>
      <c r="L43" s="161">
        <f>+L42+L28</f>
        <v>3608588724.0099998</v>
      </c>
    </row>
    <row r="44" spans="1:12" ht="7.5" customHeight="1" thickTop="1" x14ac:dyDescent="0.4">
      <c r="A44" s="9"/>
      <c r="B44" s="9"/>
      <c r="C44" s="9"/>
      <c r="D44" s="13"/>
      <c r="E44" s="13"/>
      <c r="F44" s="166"/>
      <c r="G44" s="166"/>
      <c r="H44" s="166"/>
      <c r="I44" s="156"/>
      <c r="J44" s="21"/>
      <c r="K44" s="21"/>
      <c r="L44" s="21"/>
    </row>
    <row r="45" spans="1:12" x14ac:dyDescent="0.4">
      <c r="A45" s="15" t="s">
        <v>328</v>
      </c>
      <c r="B45" s="9"/>
      <c r="C45" s="9"/>
      <c r="D45" s="13"/>
      <c r="E45" s="13"/>
      <c r="F45" s="13"/>
      <c r="G45" s="13"/>
      <c r="H45" s="13"/>
      <c r="I45" s="9"/>
      <c r="J45" s="17"/>
      <c r="K45" s="17"/>
      <c r="L45" s="17"/>
    </row>
    <row r="46" spans="1:12" ht="18.75" customHeight="1" x14ac:dyDescent="0.4">
      <c r="A46" s="9"/>
      <c r="B46" s="9"/>
      <c r="C46" s="9"/>
      <c r="D46" s="13"/>
      <c r="E46" s="13"/>
      <c r="F46" s="13"/>
      <c r="G46" s="13"/>
      <c r="H46" s="13"/>
      <c r="I46" s="9"/>
      <c r="J46" s="11"/>
      <c r="K46" s="11"/>
      <c r="L46" s="11"/>
    </row>
    <row r="47" spans="1:12" x14ac:dyDescent="0.4">
      <c r="A47" s="13"/>
      <c r="B47" s="24" t="s">
        <v>145</v>
      </c>
      <c r="C47" s="13"/>
      <c r="D47" s="24"/>
      <c r="E47" s="13"/>
      <c r="G47" s="24"/>
      <c r="H47" s="24" t="s">
        <v>145</v>
      </c>
      <c r="I47" s="13"/>
      <c r="J47" s="13"/>
      <c r="K47" s="13"/>
      <c r="L47" s="13"/>
    </row>
    <row r="48" spans="1:12" ht="9.75" customHeight="1" x14ac:dyDescent="0.4">
      <c r="A48" s="221"/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</row>
    <row r="49" spans="1:12" x14ac:dyDescent="0.4">
      <c r="B49" s="24"/>
      <c r="C49" s="13"/>
      <c r="D49" s="24"/>
      <c r="E49" s="24"/>
      <c r="F49" s="24"/>
      <c r="G49" s="24"/>
      <c r="H49" s="13"/>
      <c r="I49" s="24"/>
      <c r="J49" s="24"/>
      <c r="K49" s="24"/>
      <c r="L49" s="24"/>
    </row>
    <row r="50" spans="1:12" x14ac:dyDescent="0.4">
      <c r="A50" s="24"/>
      <c r="B50" s="25"/>
      <c r="C50" s="13"/>
      <c r="D50" s="13"/>
      <c r="E50" s="13"/>
      <c r="F50" s="13"/>
      <c r="G50" s="13"/>
      <c r="H50" s="13"/>
      <c r="I50" s="13"/>
      <c r="J50" s="13"/>
      <c r="K50" s="13"/>
      <c r="L50" s="11"/>
    </row>
    <row r="51" spans="1:12" x14ac:dyDescent="0.4">
      <c r="A51" s="222" t="s">
        <v>131</v>
      </c>
      <c r="B51" s="222"/>
      <c r="C51" s="222"/>
      <c r="D51" s="222"/>
      <c r="E51" s="222"/>
      <c r="F51" s="222"/>
      <c r="G51" s="222"/>
      <c r="H51" s="222"/>
      <c r="I51" s="222"/>
      <c r="J51" s="222"/>
      <c r="K51" s="222"/>
      <c r="L51" s="222"/>
    </row>
    <row r="52" spans="1:12" x14ac:dyDescent="0.4">
      <c r="A52" s="222" t="s">
        <v>238</v>
      </c>
      <c r="B52" s="222"/>
      <c r="C52" s="222"/>
      <c r="D52" s="222"/>
      <c r="E52" s="222"/>
      <c r="F52" s="222"/>
      <c r="G52" s="222"/>
      <c r="H52" s="222"/>
      <c r="I52" s="222"/>
      <c r="J52" s="222"/>
      <c r="K52" s="222"/>
      <c r="L52" s="222"/>
    </row>
    <row r="53" spans="1:12" s="26" customFormat="1" x14ac:dyDescent="0.4">
      <c r="A53" s="222" t="str">
        <f>+A5</f>
        <v>AS AT JUNE 30, 2024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2"/>
    </row>
    <row r="54" spans="1:12" ht="18.75" customHeight="1" x14ac:dyDescent="0.4">
      <c r="A54" s="9"/>
      <c r="B54" s="9"/>
      <c r="C54" s="9"/>
      <c r="F54" s="223" t="s">
        <v>132</v>
      </c>
      <c r="G54" s="223"/>
      <c r="H54" s="223"/>
      <c r="I54" s="223"/>
      <c r="J54" s="223"/>
      <c r="K54" s="223"/>
      <c r="L54" s="223"/>
    </row>
    <row r="55" spans="1:12" ht="18.75" customHeight="1" x14ac:dyDescent="0.4">
      <c r="A55" s="9"/>
      <c r="B55" s="9"/>
      <c r="C55" s="9"/>
      <c r="F55" s="220" t="s">
        <v>205</v>
      </c>
      <c r="G55" s="220"/>
      <c r="H55" s="220"/>
      <c r="I55" s="79"/>
      <c r="J55" s="220" t="s">
        <v>206</v>
      </c>
      <c r="K55" s="220"/>
      <c r="L55" s="220"/>
    </row>
    <row r="56" spans="1:12" x14ac:dyDescent="0.4">
      <c r="A56" s="9"/>
      <c r="B56" s="9"/>
      <c r="C56" s="9"/>
      <c r="D56" s="183" t="s">
        <v>133</v>
      </c>
      <c r="F56" s="188" t="str">
        <f>F8</f>
        <v>June 30, 2024</v>
      </c>
      <c r="H56" s="188" t="str">
        <f>H8</f>
        <v>December 31, 2023</v>
      </c>
      <c r="J56" s="188" t="str">
        <f>J8</f>
        <v>June 30, 2024</v>
      </c>
      <c r="K56" s="6"/>
      <c r="L56" s="188" t="str">
        <f>L8</f>
        <v>December 31, 2023</v>
      </c>
    </row>
    <row r="57" spans="1:12" x14ac:dyDescent="0.4">
      <c r="A57" s="9"/>
      <c r="B57" s="9"/>
      <c r="C57" s="9"/>
      <c r="F57" s="187" t="s">
        <v>335</v>
      </c>
      <c r="G57" s="187"/>
      <c r="H57" s="187" t="s">
        <v>337</v>
      </c>
      <c r="J57" s="187" t="s">
        <v>335</v>
      </c>
      <c r="K57" s="187"/>
      <c r="L57" s="187" t="s">
        <v>337</v>
      </c>
    </row>
    <row r="58" spans="1:12" s="35" customFormat="1" ht="18" customHeight="1" x14ac:dyDescent="0.4">
      <c r="A58" s="6"/>
      <c r="B58" s="6"/>
      <c r="C58" s="6"/>
      <c r="D58" s="6"/>
      <c r="E58" s="6"/>
      <c r="F58" s="72" t="s">
        <v>336</v>
      </c>
      <c r="G58" s="128"/>
      <c r="H58" s="72"/>
      <c r="I58" s="9"/>
      <c r="J58" s="72" t="s">
        <v>336</v>
      </c>
      <c r="K58" s="128"/>
      <c r="L58" s="72"/>
    </row>
    <row r="59" spans="1:12" ht="18" customHeight="1" x14ac:dyDescent="0.4">
      <c r="A59" s="224" t="s">
        <v>146</v>
      </c>
      <c r="B59" s="224"/>
      <c r="C59" s="224"/>
      <c r="D59" s="13"/>
      <c r="E59" s="13"/>
      <c r="F59" s="27"/>
      <c r="G59" s="27"/>
      <c r="H59" s="27"/>
      <c r="I59" s="9"/>
      <c r="J59" s="27"/>
      <c r="K59" s="27"/>
      <c r="L59" s="27"/>
    </row>
    <row r="60" spans="1:12" x14ac:dyDescent="0.4">
      <c r="A60" s="127" t="s">
        <v>147</v>
      </c>
      <c r="B60" s="9"/>
      <c r="C60" s="9"/>
      <c r="D60" s="13"/>
      <c r="E60" s="13"/>
      <c r="F60" s="10"/>
      <c r="G60" s="10"/>
      <c r="H60" s="10"/>
      <c r="I60" s="9"/>
      <c r="J60" s="11"/>
      <c r="K60" s="11"/>
      <c r="L60" s="11"/>
    </row>
    <row r="61" spans="1:12" x14ac:dyDescent="0.4">
      <c r="A61" s="9"/>
      <c r="B61" s="9" t="s">
        <v>291</v>
      </c>
      <c r="C61" s="9"/>
      <c r="D61" s="13">
        <v>18</v>
      </c>
      <c r="E61" s="13"/>
      <c r="F61" s="160">
        <v>481000000</v>
      </c>
      <c r="G61" s="10"/>
      <c r="H61" s="160">
        <v>500000000</v>
      </c>
      <c r="I61" s="9"/>
      <c r="J61" s="14">
        <v>481000000</v>
      </c>
      <c r="K61" s="11"/>
      <c r="L61" s="14">
        <v>500000000</v>
      </c>
    </row>
    <row r="62" spans="1:12" x14ac:dyDescent="0.4">
      <c r="A62" s="9"/>
      <c r="B62" s="9" t="s">
        <v>262</v>
      </c>
      <c r="C62" s="9"/>
      <c r="D62" s="13"/>
      <c r="E62" s="13"/>
      <c r="F62" s="12"/>
      <c r="G62" s="12"/>
      <c r="H62" s="12"/>
      <c r="I62" s="18"/>
      <c r="J62" s="11"/>
      <c r="K62" s="11"/>
      <c r="L62" s="11"/>
    </row>
    <row r="63" spans="1:12" hidden="1" x14ac:dyDescent="0.4">
      <c r="A63" s="9"/>
      <c r="B63" s="9"/>
      <c r="C63" s="9" t="s">
        <v>189</v>
      </c>
      <c r="D63" s="13"/>
      <c r="E63" s="13"/>
      <c r="F63" s="160"/>
      <c r="G63" s="160"/>
      <c r="H63" s="160">
        <v>0</v>
      </c>
      <c r="I63" s="156"/>
      <c r="J63" s="14"/>
      <c r="K63" s="14"/>
      <c r="L63" s="14">
        <v>0</v>
      </c>
    </row>
    <row r="64" spans="1:12" x14ac:dyDescent="0.4">
      <c r="A64" s="9"/>
      <c r="B64" s="9"/>
      <c r="C64" s="9" t="s">
        <v>321</v>
      </c>
      <c r="D64" s="6">
        <v>2.5</v>
      </c>
      <c r="E64" s="13"/>
      <c r="F64" s="160">
        <v>0</v>
      </c>
      <c r="G64" s="160"/>
      <c r="H64" s="160">
        <v>0</v>
      </c>
      <c r="I64" s="156"/>
      <c r="J64" s="14">
        <v>0</v>
      </c>
      <c r="K64" s="14"/>
      <c r="L64" s="14">
        <v>78725230.049999997</v>
      </c>
    </row>
    <row r="65" spans="1:14" x14ac:dyDescent="0.4">
      <c r="A65" s="9"/>
      <c r="B65" s="9" t="s">
        <v>313</v>
      </c>
      <c r="C65" s="9"/>
      <c r="D65" s="3"/>
      <c r="E65" s="3"/>
      <c r="F65" s="3"/>
      <c r="G65" s="3"/>
      <c r="H65" s="3"/>
      <c r="J65" s="3"/>
      <c r="K65" s="3"/>
      <c r="L65" s="3"/>
    </row>
    <row r="66" spans="1:14" x14ac:dyDescent="0.4">
      <c r="A66" s="9"/>
      <c r="B66" s="9"/>
      <c r="C66" s="9" t="s">
        <v>189</v>
      </c>
      <c r="D66" s="6">
        <v>19</v>
      </c>
      <c r="E66" s="13"/>
      <c r="F66" s="160">
        <v>27133596.359999999</v>
      </c>
      <c r="G66" s="160"/>
      <c r="H66" s="160">
        <v>57276548.380000003</v>
      </c>
      <c r="I66" s="156"/>
      <c r="J66" s="14">
        <v>26668455.530000001</v>
      </c>
      <c r="K66" s="14"/>
      <c r="L66" s="14">
        <v>56510221.539999999</v>
      </c>
    </row>
    <row r="67" spans="1:14" x14ac:dyDescent="0.4">
      <c r="A67" s="9"/>
      <c r="B67" s="9"/>
      <c r="C67" s="9" t="s">
        <v>321</v>
      </c>
      <c r="D67" s="6">
        <v>2.6</v>
      </c>
      <c r="E67" s="13"/>
      <c r="F67" s="160">
        <v>0</v>
      </c>
      <c r="G67" s="160"/>
      <c r="H67" s="160">
        <v>0</v>
      </c>
      <c r="I67" s="156"/>
      <c r="J67" s="14">
        <v>25593516.260000002</v>
      </c>
      <c r="K67" s="14"/>
      <c r="L67" s="14">
        <v>0</v>
      </c>
    </row>
    <row r="68" spans="1:14" x14ac:dyDescent="0.4">
      <c r="A68" s="9"/>
      <c r="B68" s="9" t="s">
        <v>202</v>
      </c>
      <c r="E68" s="13"/>
      <c r="F68" s="160"/>
      <c r="G68" s="160"/>
      <c r="H68" s="160"/>
      <c r="I68" s="156"/>
      <c r="J68" s="14"/>
      <c r="K68" s="14"/>
      <c r="L68" s="14"/>
    </row>
    <row r="69" spans="1:14" x14ac:dyDescent="0.4">
      <c r="A69" s="9"/>
      <c r="B69" s="9"/>
      <c r="C69" s="9" t="s">
        <v>321</v>
      </c>
      <c r="D69" s="6">
        <v>2.7</v>
      </c>
      <c r="E69" s="13"/>
      <c r="F69" s="160">
        <v>0</v>
      </c>
      <c r="G69" s="160"/>
      <c r="H69" s="160">
        <v>0</v>
      </c>
      <c r="I69" s="156"/>
      <c r="J69" s="14">
        <v>6000000</v>
      </c>
      <c r="K69" s="14"/>
      <c r="L69" s="14">
        <v>15000000</v>
      </c>
    </row>
    <row r="70" spans="1:14" x14ac:dyDescent="0.4">
      <c r="A70" s="9"/>
      <c r="B70" s="9" t="s">
        <v>149</v>
      </c>
      <c r="D70" s="13"/>
      <c r="E70" s="13"/>
      <c r="F70" s="160">
        <v>31412400.600000001</v>
      </c>
      <c r="G70" s="160"/>
      <c r="H70" s="160">
        <v>11556218.140000001</v>
      </c>
      <c r="I70" s="156"/>
      <c r="J70" s="160">
        <v>31412400.600000001</v>
      </c>
      <c r="K70" s="160"/>
      <c r="L70" s="160">
        <v>11556218.140000001</v>
      </c>
    </row>
    <row r="71" spans="1:14" x14ac:dyDescent="0.4">
      <c r="A71" s="9"/>
      <c r="B71" s="9" t="s">
        <v>343</v>
      </c>
      <c r="D71" s="13">
        <v>20</v>
      </c>
      <c r="E71" s="13"/>
      <c r="F71" s="160">
        <v>808577.47</v>
      </c>
      <c r="G71" s="160"/>
      <c r="H71" s="160">
        <v>800022.98</v>
      </c>
      <c r="I71" s="156"/>
      <c r="J71" s="160">
        <v>808577.47</v>
      </c>
      <c r="K71" s="160"/>
      <c r="L71" s="160">
        <v>800022.98</v>
      </c>
    </row>
    <row r="72" spans="1:14" x14ac:dyDescent="0.4">
      <c r="A72" s="9"/>
      <c r="B72" s="9" t="s">
        <v>148</v>
      </c>
      <c r="C72" s="9"/>
      <c r="D72" s="13"/>
      <c r="E72" s="13"/>
      <c r="F72" s="160"/>
      <c r="G72" s="160"/>
      <c r="H72" s="160"/>
      <c r="I72" s="156"/>
      <c r="J72" s="160"/>
      <c r="K72" s="160"/>
      <c r="L72" s="160"/>
    </row>
    <row r="73" spans="1:14" x14ac:dyDescent="0.4">
      <c r="A73" s="9"/>
      <c r="B73" s="9"/>
      <c r="C73" s="9" t="s">
        <v>211</v>
      </c>
      <c r="D73" s="13"/>
      <c r="E73" s="13"/>
      <c r="F73" s="160">
        <v>3427805.48</v>
      </c>
      <c r="G73" s="160"/>
      <c r="H73" s="160">
        <v>2929011.21</v>
      </c>
      <c r="I73" s="184"/>
      <c r="J73" s="184">
        <v>3427805.48</v>
      </c>
      <c r="K73" s="184"/>
      <c r="L73" s="184">
        <v>1703996.16</v>
      </c>
    </row>
    <row r="74" spans="1:14" x14ac:dyDescent="0.4">
      <c r="A74" s="9"/>
      <c r="B74" s="9"/>
      <c r="C74" s="9" t="s">
        <v>138</v>
      </c>
      <c r="D74" s="13"/>
      <c r="E74" s="13"/>
      <c r="F74" s="160">
        <v>1240931.83</v>
      </c>
      <c r="G74" s="160"/>
      <c r="H74" s="160">
        <v>3773340.6</v>
      </c>
      <c r="I74" s="156"/>
      <c r="J74" s="14">
        <v>1210375.53</v>
      </c>
      <c r="K74" s="14"/>
      <c r="L74" s="14">
        <v>3739224.26</v>
      </c>
    </row>
    <row r="75" spans="1:14" x14ac:dyDescent="0.4">
      <c r="A75" s="9"/>
      <c r="B75" s="9"/>
      <c r="C75" s="127" t="s">
        <v>150</v>
      </c>
      <c r="D75" s="13"/>
      <c r="E75" s="13"/>
      <c r="F75" s="159">
        <f>SUM(F61:F74)</f>
        <v>545023311.74000013</v>
      </c>
      <c r="G75" s="21"/>
      <c r="H75" s="159">
        <f>SUM(H61:H74)</f>
        <v>576335141.31000006</v>
      </c>
      <c r="I75" s="156"/>
      <c r="J75" s="159">
        <f>SUM(J61:J74)</f>
        <v>576121130.87</v>
      </c>
      <c r="K75" s="21"/>
      <c r="L75" s="159">
        <f>SUM(L61:L74)</f>
        <v>668034913.12999988</v>
      </c>
    </row>
    <row r="76" spans="1:14" x14ac:dyDescent="0.4">
      <c r="A76" s="9"/>
      <c r="B76" s="9"/>
      <c r="C76" s="127"/>
      <c r="D76" s="13"/>
      <c r="E76" s="13"/>
      <c r="F76" s="21"/>
      <c r="G76" s="21"/>
      <c r="H76" s="21"/>
      <c r="I76" s="156"/>
      <c r="J76" s="21"/>
      <c r="K76" s="21"/>
      <c r="L76" s="21"/>
    </row>
    <row r="77" spans="1:14" x14ac:dyDescent="0.4">
      <c r="A77" s="127" t="s">
        <v>222</v>
      </c>
      <c r="B77" s="9"/>
      <c r="C77" s="127"/>
      <c r="D77" s="13"/>
      <c r="E77" s="13"/>
      <c r="F77" s="21"/>
      <c r="G77" s="21"/>
      <c r="H77" s="21"/>
      <c r="I77" s="156"/>
      <c r="J77" s="21"/>
      <c r="K77" s="21"/>
      <c r="L77" s="21"/>
    </row>
    <row r="78" spans="1:14" x14ac:dyDescent="0.4">
      <c r="A78" s="127"/>
      <c r="B78" s="9" t="s">
        <v>342</v>
      </c>
      <c r="C78" s="127"/>
      <c r="D78" s="13">
        <v>20</v>
      </c>
      <c r="E78" s="13"/>
      <c r="F78" s="21">
        <v>68161.039999999994</v>
      </c>
      <c r="G78" s="21"/>
      <c r="H78" s="21">
        <v>474599.76</v>
      </c>
      <c r="I78" s="156"/>
      <c r="J78" s="21">
        <v>68161.039999999994</v>
      </c>
      <c r="K78" s="21"/>
      <c r="L78" s="21">
        <v>474599.76</v>
      </c>
    </row>
    <row r="79" spans="1:14" hidden="1" x14ac:dyDescent="0.4">
      <c r="A79" s="127"/>
      <c r="B79" s="9" t="s">
        <v>263</v>
      </c>
      <c r="C79" s="127"/>
      <c r="D79" s="13">
        <v>17.3</v>
      </c>
      <c r="E79" s="13"/>
      <c r="F79" s="21"/>
      <c r="G79" s="21"/>
      <c r="H79" s="21">
        <v>0</v>
      </c>
      <c r="I79" s="156"/>
      <c r="J79" s="21"/>
      <c r="K79" s="21"/>
      <c r="L79" s="21">
        <v>0</v>
      </c>
    </row>
    <row r="80" spans="1:14" x14ac:dyDescent="0.4">
      <c r="A80" s="9"/>
      <c r="B80" s="9" t="s">
        <v>314</v>
      </c>
      <c r="C80" s="127"/>
      <c r="D80" s="13">
        <v>21</v>
      </c>
      <c r="E80" s="13"/>
      <c r="F80" s="160">
        <v>36261680</v>
      </c>
      <c r="G80" s="160"/>
      <c r="H80" s="160">
        <v>35942518</v>
      </c>
      <c r="I80" s="14"/>
      <c r="J80" s="14">
        <v>36261680</v>
      </c>
      <c r="K80" s="14"/>
      <c r="L80" s="14">
        <v>34838513</v>
      </c>
      <c r="N80" s="189"/>
    </row>
    <row r="81" spans="1:12" x14ac:dyDescent="0.4">
      <c r="A81" s="9"/>
      <c r="B81" s="9"/>
      <c r="C81" s="127" t="s">
        <v>223</v>
      </c>
      <c r="D81" s="13"/>
      <c r="E81" s="13"/>
      <c r="F81" s="159">
        <f>SUM(F78:F80)</f>
        <v>36329841.039999999</v>
      </c>
      <c r="G81" s="21"/>
      <c r="H81" s="159">
        <f>SUM(H78:H80)</f>
        <v>36417117.759999998</v>
      </c>
      <c r="I81" s="14"/>
      <c r="J81" s="159">
        <f>SUM(J78:J80)</f>
        <v>36329841.039999999</v>
      </c>
      <c r="K81" s="21"/>
      <c r="L81" s="159">
        <f>SUM(L78:L80)</f>
        <v>35313112.759999998</v>
      </c>
    </row>
    <row r="82" spans="1:12" x14ac:dyDescent="0.4">
      <c r="A82" s="9"/>
      <c r="B82" s="9"/>
      <c r="C82" s="127" t="s">
        <v>224</v>
      </c>
      <c r="D82" s="13"/>
      <c r="E82" s="13"/>
      <c r="F82" s="157">
        <f>+F81+F75</f>
        <v>581353152.78000009</v>
      </c>
      <c r="G82" s="21"/>
      <c r="H82" s="157">
        <f>+H81+H75</f>
        <v>612752259.07000005</v>
      </c>
      <c r="I82" s="156"/>
      <c r="J82" s="157">
        <f>+J81+J75</f>
        <v>612450971.90999997</v>
      </c>
      <c r="K82" s="21"/>
      <c r="L82" s="157">
        <f>+L81+L75</f>
        <v>703348025.88999987</v>
      </c>
    </row>
    <row r="83" spans="1:12" x14ac:dyDescent="0.4">
      <c r="A83" s="9"/>
      <c r="B83" s="9"/>
      <c r="C83" s="127"/>
      <c r="D83" s="13"/>
      <c r="E83" s="13"/>
      <c r="F83" s="21"/>
      <c r="G83" s="21"/>
      <c r="H83" s="21"/>
      <c r="I83" s="156"/>
      <c r="J83" s="21"/>
      <c r="K83" s="21"/>
      <c r="L83" s="21"/>
    </row>
    <row r="84" spans="1:12" x14ac:dyDescent="0.4">
      <c r="A84" s="15" t="str">
        <f>+A45</f>
        <v>The accompanying interim notes to financial statements are an integral part of these interim financial statements.</v>
      </c>
      <c r="B84" s="9"/>
      <c r="C84" s="127"/>
      <c r="D84" s="13"/>
      <c r="E84" s="13"/>
      <c r="F84" s="17"/>
      <c r="G84" s="17"/>
      <c r="H84" s="17"/>
      <c r="I84" s="18"/>
      <c r="J84" s="17"/>
      <c r="K84" s="17"/>
      <c r="L84" s="17"/>
    </row>
    <row r="85" spans="1:12" x14ac:dyDescent="0.4">
      <c r="A85" s="9"/>
      <c r="B85" s="9"/>
      <c r="C85" s="127"/>
      <c r="D85" s="13"/>
      <c r="E85" s="13"/>
      <c r="F85" s="17"/>
      <c r="G85" s="17"/>
      <c r="H85" s="17"/>
      <c r="I85" s="18"/>
      <c r="J85" s="17"/>
      <c r="K85" s="17"/>
      <c r="L85" s="17"/>
    </row>
    <row r="86" spans="1:12" x14ac:dyDescent="0.4">
      <c r="A86" s="9"/>
      <c r="B86" s="9"/>
      <c r="C86" s="127"/>
      <c r="D86" s="13"/>
      <c r="E86" s="13"/>
      <c r="F86" s="17"/>
      <c r="G86" s="17"/>
      <c r="H86" s="17"/>
      <c r="I86" s="18"/>
      <c r="J86" s="17"/>
      <c r="K86" s="17"/>
      <c r="L86" s="17"/>
    </row>
    <row r="87" spans="1:12" x14ac:dyDescent="0.4">
      <c r="A87" s="9"/>
      <c r="B87" s="9"/>
      <c r="C87" s="127"/>
      <c r="D87" s="13"/>
      <c r="E87" s="13"/>
      <c r="F87" s="17"/>
      <c r="G87" s="17"/>
      <c r="H87" s="17"/>
      <c r="I87" s="18"/>
      <c r="J87" s="17"/>
      <c r="K87" s="17"/>
      <c r="L87" s="17"/>
    </row>
    <row r="88" spans="1:12" x14ac:dyDescent="0.4">
      <c r="A88" s="9"/>
      <c r="B88" s="9"/>
      <c r="C88" s="127"/>
      <c r="D88" s="13"/>
      <c r="E88" s="13"/>
      <c r="F88" s="17"/>
      <c r="G88" s="17"/>
      <c r="H88" s="17"/>
      <c r="I88" s="18"/>
      <c r="J88" s="17"/>
      <c r="K88" s="17"/>
      <c r="L88" s="17"/>
    </row>
    <row r="89" spans="1:12" x14ac:dyDescent="0.4">
      <c r="A89" s="131"/>
      <c r="B89" s="9"/>
      <c r="C89" s="9"/>
      <c r="D89" s="13"/>
      <c r="E89" s="13"/>
      <c r="F89" s="13"/>
      <c r="G89" s="13"/>
      <c r="H89" s="13"/>
      <c r="I89" s="9"/>
      <c r="J89" s="17"/>
      <c r="K89" s="17"/>
      <c r="L89" s="17"/>
    </row>
    <row r="90" spans="1:12" x14ac:dyDescent="0.4">
      <c r="A90" s="131"/>
      <c r="B90" s="9"/>
      <c r="C90" s="9"/>
      <c r="D90" s="13"/>
      <c r="E90" s="13"/>
      <c r="F90" s="13"/>
      <c r="G90" s="13"/>
      <c r="H90" s="13"/>
      <c r="I90" s="9"/>
      <c r="J90" s="17"/>
      <c r="K90" s="17"/>
      <c r="L90" s="17"/>
    </row>
    <row r="91" spans="1:12" x14ac:dyDescent="0.4">
      <c r="A91" s="131"/>
      <c r="B91" s="9"/>
      <c r="C91" s="9"/>
      <c r="D91" s="13"/>
      <c r="E91" s="13"/>
      <c r="F91" s="13"/>
      <c r="G91" s="13"/>
      <c r="H91" s="13"/>
      <c r="I91" s="9"/>
      <c r="J91" s="17"/>
      <c r="K91" s="17"/>
      <c r="L91" s="17"/>
    </row>
    <row r="92" spans="1:12" x14ac:dyDescent="0.4">
      <c r="C92" s="9"/>
      <c r="D92" s="13"/>
      <c r="E92" s="13"/>
      <c r="F92" s="13"/>
      <c r="G92" s="13"/>
      <c r="H92" s="13"/>
      <c r="I92" s="9"/>
      <c r="J92" s="17"/>
      <c r="K92" s="17"/>
      <c r="L92" s="17"/>
    </row>
    <row r="93" spans="1:12" x14ac:dyDescent="0.4">
      <c r="A93" s="13"/>
      <c r="B93" s="24" t="s">
        <v>145</v>
      </c>
      <c r="C93" s="13"/>
      <c r="D93" s="24"/>
      <c r="E93" s="13"/>
      <c r="G93" s="24"/>
      <c r="H93" s="24" t="s">
        <v>145</v>
      </c>
      <c r="I93" s="13"/>
      <c r="J93" s="13"/>
      <c r="K93" s="13"/>
      <c r="L93" s="13"/>
    </row>
    <row r="94" spans="1:12" x14ac:dyDescent="0.4">
      <c r="A94" s="221"/>
      <c r="B94" s="221"/>
      <c r="C94" s="221"/>
      <c r="D94" s="221"/>
      <c r="E94" s="221"/>
      <c r="F94" s="221"/>
      <c r="G94" s="221"/>
      <c r="H94" s="221"/>
      <c r="I94" s="221"/>
      <c r="J94" s="221"/>
      <c r="K94" s="221"/>
      <c r="L94" s="221"/>
    </row>
    <row r="95" spans="1:12" x14ac:dyDescent="0.4">
      <c r="B95" s="24"/>
      <c r="C95" s="13"/>
      <c r="D95" s="24"/>
      <c r="E95" s="24"/>
      <c r="F95" s="24"/>
      <c r="G95" s="24"/>
      <c r="H95" s="13"/>
      <c r="I95" s="24"/>
      <c r="J95" s="24"/>
      <c r="K95" s="24"/>
      <c r="L95" s="24"/>
    </row>
    <row r="96" spans="1:12" x14ac:dyDescent="0.4">
      <c r="A96" s="24"/>
      <c r="B96" s="25"/>
      <c r="C96" s="13"/>
      <c r="D96" s="13"/>
      <c r="E96" s="13"/>
      <c r="F96" s="13"/>
      <c r="G96" s="13"/>
      <c r="H96" s="13"/>
      <c r="I96" s="13"/>
      <c r="J96" s="13"/>
      <c r="K96" s="13"/>
      <c r="L96" s="11"/>
    </row>
    <row r="97" spans="1:12" x14ac:dyDescent="0.4">
      <c r="A97" s="222" t="s">
        <v>131</v>
      </c>
      <c r="B97" s="222"/>
      <c r="C97" s="222"/>
      <c r="D97" s="222"/>
      <c r="E97" s="222"/>
      <c r="F97" s="222"/>
      <c r="G97" s="222"/>
      <c r="H97" s="222"/>
      <c r="I97" s="222"/>
      <c r="J97" s="222"/>
      <c r="K97" s="222"/>
      <c r="L97" s="222"/>
    </row>
    <row r="98" spans="1:12" x14ac:dyDescent="0.4">
      <c r="A98" s="222" t="s">
        <v>238</v>
      </c>
      <c r="B98" s="222"/>
      <c r="C98" s="222"/>
      <c r="D98" s="222"/>
      <c r="E98" s="222"/>
      <c r="F98" s="222"/>
      <c r="G98" s="222"/>
      <c r="H98" s="222"/>
      <c r="I98" s="222"/>
      <c r="J98" s="222"/>
      <c r="K98" s="222"/>
      <c r="L98" s="222"/>
    </row>
    <row r="99" spans="1:12" s="26" customFormat="1" ht="21.75" customHeight="1" x14ac:dyDescent="0.4">
      <c r="A99" s="225" t="str">
        <f>+A53</f>
        <v>AS AT JUNE 30, 2024</v>
      </c>
      <c r="B99" s="225"/>
      <c r="C99" s="225"/>
      <c r="D99" s="225"/>
      <c r="E99" s="225"/>
      <c r="F99" s="225"/>
      <c r="G99" s="225"/>
      <c r="H99" s="225"/>
      <c r="I99" s="225"/>
      <c r="J99" s="225"/>
      <c r="K99" s="225"/>
      <c r="L99" s="225"/>
    </row>
    <row r="100" spans="1:12" x14ac:dyDescent="0.4">
      <c r="A100" s="9"/>
      <c r="B100" s="9"/>
      <c r="C100" s="9"/>
      <c r="F100" s="223" t="s">
        <v>132</v>
      </c>
      <c r="G100" s="223"/>
      <c r="H100" s="223"/>
      <c r="I100" s="223"/>
      <c r="J100" s="223"/>
      <c r="K100" s="223"/>
      <c r="L100" s="223"/>
    </row>
    <row r="101" spans="1:12" ht="18.75" x14ac:dyDescent="0.4">
      <c r="A101" s="9"/>
      <c r="B101" s="9"/>
      <c r="C101" s="9"/>
      <c r="F101" s="220" t="s">
        <v>205</v>
      </c>
      <c r="G101" s="220"/>
      <c r="H101" s="220"/>
      <c r="I101" s="79"/>
      <c r="J101" s="220" t="s">
        <v>206</v>
      </c>
      <c r="K101" s="220"/>
      <c r="L101" s="220"/>
    </row>
    <row r="102" spans="1:12" x14ac:dyDescent="0.4">
      <c r="A102" s="9"/>
      <c r="B102" s="9"/>
      <c r="C102" s="9"/>
      <c r="D102" s="183" t="s">
        <v>133</v>
      </c>
      <c r="F102" s="188" t="str">
        <f>F56</f>
        <v>June 30, 2024</v>
      </c>
      <c r="H102" s="188" t="str">
        <f>H56</f>
        <v>December 31, 2023</v>
      </c>
      <c r="J102" s="188" t="str">
        <f>J56</f>
        <v>June 30, 2024</v>
      </c>
      <c r="K102" s="6"/>
      <c r="L102" s="188" t="str">
        <f>L56</f>
        <v>December 31, 2023</v>
      </c>
    </row>
    <row r="103" spans="1:12" x14ac:dyDescent="0.4">
      <c r="A103" s="9"/>
      <c r="B103" s="9"/>
      <c r="C103" s="9"/>
      <c r="F103" s="187" t="s">
        <v>335</v>
      </c>
      <c r="G103" s="187"/>
      <c r="H103" s="187" t="s">
        <v>337</v>
      </c>
      <c r="J103" s="187" t="s">
        <v>335</v>
      </c>
      <c r="K103" s="187"/>
      <c r="L103" s="187" t="s">
        <v>337</v>
      </c>
    </row>
    <row r="104" spans="1:12" x14ac:dyDescent="0.4">
      <c r="A104" s="9"/>
      <c r="B104" s="9"/>
      <c r="C104" s="9"/>
      <c r="F104" s="72" t="s">
        <v>336</v>
      </c>
      <c r="G104" s="128"/>
      <c r="H104" s="72"/>
      <c r="I104" s="9"/>
      <c r="J104" s="72" t="s">
        <v>336</v>
      </c>
      <c r="K104" s="128"/>
      <c r="L104" s="72"/>
    </row>
    <row r="105" spans="1:12" x14ac:dyDescent="0.4">
      <c r="A105" s="6"/>
      <c r="B105" s="6"/>
      <c r="C105" s="6"/>
      <c r="F105" s="20"/>
      <c r="G105" s="20"/>
      <c r="H105" s="20"/>
      <c r="I105" s="9"/>
      <c r="J105" s="20"/>
      <c r="K105" s="20"/>
      <c r="L105" s="20"/>
    </row>
    <row r="106" spans="1:12" x14ac:dyDescent="0.4">
      <c r="A106" s="127" t="s">
        <v>151</v>
      </c>
      <c r="B106" s="9"/>
      <c r="C106" s="9"/>
      <c r="D106" s="13"/>
      <c r="E106" s="13"/>
      <c r="F106" s="27"/>
      <c r="G106" s="27"/>
      <c r="H106" s="28"/>
      <c r="I106" s="9"/>
      <c r="J106" s="27"/>
      <c r="K106" s="27"/>
      <c r="L106" s="27"/>
    </row>
    <row r="107" spans="1:12" x14ac:dyDescent="0.4">
      <c r="A107" s="9"/>
      <c r="B107" s="9" t="s">
        <v>281</v>
      </c>
      <c r="C107" s="9"/>
      <c r="D107" s="13"/>
      <c r="E107" s="13"/>
      <c r="F107" s="184"/>
      <c r="G107" s="184"/>
      <c r="H107" s="184"/>
      <c r="I107" s="156"/>
      <c r="J107" s="21"/>
      <c r="K107" s="21"/>
      <c r="L107" s="14"/>
    </row>
    <row r="108" spans="1:12" x14ac:dyDescent="0.4">
      <c r="A108" s="9"/>
      <c r="B108" s="9" t="s">
        <v>152</v>
      </c>
      <c r="C108" s="9"/>
      <c r="D108" s="13"/>
      <c r="E108" s="13"/>
      <c r="F108" s="184"/>
      <c r="G108" s="184"/>
      <c r="H108" s="184"/>
      <c r="I108" s="156"/>
      <c r="J108" s="21"/>
      <c r="K108" s="21"/>
      <c r="L108" s="14"/>
    </row>
    <row r="109" spans="1:12" ht="18.75" thickBot="1" x14ac:dyDescent="0.45">
      <c r="A109" s="9"/>
      <c r="B109" s="9"/>
      <c r="C109" s="37" t="s">
        <v>372</v>
      </c>
      <c r="D109" s="13">
        <v>22</v>
      </c>
      <c r="E109" s="13"/>
      <c r="F109" s="190">
        <v>0</v>
      </c>
      <c r="G109" s="184"/>
      <c r="H109" s="190">
        <v>1644604486.8699999</v>
      </c>
      <c r="I109" s="156"/>
      <c r="J109" s="190">
        <v>0</v>
      </c>
      <c r="K109" s="184"/>
      <c r="L109" s="190">
        <v>1644604486.8699999</v>
      </c>
    </row>
    <row r="110" spans="1:12" ht="19.5" thickTop="1" thickBot="1" x14ac:dyDescent="0.45">
      <c r="A110" s="9"/>
      <c r="B110" s="9"/>
      <c r="C110" s="37" t="s">
        <v>373</v>
      </c>
      <c r="D110" s="13">
        <v>22</v>
      </c>
      <c r="E110" s="13"/>
      <c r="F110" s="190">
        <v>1657854486.8800001</v>
      </c>
      <c r="G110" s="184"/>
      <c r="H110" s="190">
        <v>1644604486.8699999</v>
      </c>
      <c r="I110" s="156"/>
      <c r="J110" s="190">
        <v>1657854486.8800001</v>
      </c>
      <c r="K110" s="184"/>
      <c r="L110" s="190">
        <v>1644604486.8699999</v>
      </c>
    </row>
    <row r="111" spans="1:12" ht="18.75" thickTop="1" x14ac:dyDescent="0.4">
      <c r="A111" s="9"/>
      <c r="B111" s="9" t="s">
        <v>192</v>
      </c>
      <c r="C111" s="9"/>
      <c r="D111" s="13"/>
      <c r="E111" s="13"/>
      <c r="F111" s="184"/>
      <c r="G111" s="184"/>
      <c r="H111" s="184"/>
      <c r="I111" s="156"/>
      <c r="J111" s="14"/>
      <c r="K111" s="14"/>
      <c r="L111" s="14"/>
    </row>
    <row r="112" spans="1:12" x14ac:dyDescent="0.4">
      <c r="A112" s="9"/>
      <c r="B112" s="9"/>
      <c r="C112" s="37" t="s">
        <v>329</v>
      </c>
      <c r="D112" s="13">
        <v>22</v>
      </c>
      <c r="E112" s="13"/>
      <c r="F112" s="14">
        <v>1164401069.76</v>
      </c>
      <c r="G112" s="14"/>
      <c r="H112" s="4">
        <v>1164401069.76</v>
      </c>
      <c r="I112" s="14"/>
      <c r="J112" s="14">
        <v>1164401069.76</v>
      </c>
      <c r="K112" s="14"/>
      <c r="L112" s="4">
        <v>1164401069.76</v>
      </c>
    </row>
    <row r="113" spans="1:20" x14ac:dyDescent="0.4">
      <c r="A113" s="9"/>
      <c r="B113" s="9" t="s">
        <v>282</v>
      </c>
      <c r="C113" s="34"/>
      <c r="D113" s="13">
        <v>22</v>
      </c>
      <c r="E113" s="13"/>
      <c r="F113" s="14">
        <f>+'Changed-Conso'!H41</f>
        <v>688264273.16999996</v>
      </c>
      <c r="G113" s="14"/>
      <c r="H113" s="14">
        <v>688264273.16999996</v>
      </c>
      <c r="I113" s="156"/>
      <c r="J113" s="14">
        <f>+'Changed-Com'!H39</f>
        <v>688264273.17000008</v>
      </c>
      <c r="K113" s="14"/>
      <c r="L113" s="14">
        <v>688264273.16999996</v>
      </c>
    </row>
    <row r="114" spans="1:20" hidden="1" x14ac:dyDescent="0.4">
      <c r="A114" s="9"/>
      <c r="B114" s="9" t="s">
        <v>304</v>
      </c>
      <c r="C114" s="34"/>
      <c r="D114" s="13">
        <v>22</v>
      </c>
      <c r="E114" s="13"/>
      <c r="F114" s="14">
        <f>+'Changed-Conso'!J41</f>
        <v>0</v>
      </c>
      <c r="G114" s="14"/>
      <c r="H114" s="14">
        <v>0</v>
      </c>
      <c r="I114" s="156"/>
      <c r="J114" s="14">
        <f>+'Changed-Com'!J39</f>
        <v>0</v>
      </c>
      <c r="K114" s="14"/>
      <c r="L114" s="14">
        <v>0</v>
      </c>
    </row>
    <row r="115" spans="1:20" x14ac:dyDescent="0.4">
      <c r="A115" s="9"/>
      <c r="B115" s="9" t="s">
        <v>153</v>
      </c>
      <c r="C115" s="9"/>
      <c r="D115" s="13"/>
      <c r="E115" s="13"/>
      <c r="F115" s="14"/>
      <c r="G115" s="14"/>
      <c r="H115" s="184"/>
      <c r="I115" s="156"/>
      <c r="J115" s="14"/>
      <c r="K115" s="14"/>
      <c r="L115" s="14"/>
    </row>
    <row r="116" spans="1:20" x14ac:dyDescent="0.4">
      <c r="A116" s="9"/>
      <c r="B116" s="9"/>
      <c r="C116" s="9" t="s">
        <v>154</v>
      </c>
      <c r="D116" s="13"/>
      <c r="E116" s="13"/>
      <c r="F116" s="160">
        <f>+'Changed-Conso'!L41</f>
        <v>107803033.52</v>
      </c>
      <c r="G116" s="160"/>
      <c r="H116" s="160">
        <v>107803033.52</v>
      </c>
      <c r="I116" s="156"/>
      <c r="J116" s="160">
        <f>+'Changed-Com'!R39</f>
        <v>107803033.52</v>
      </c>
      <c r="K116" s="160"/>
      <c r="L116" s="160">
        <v>107803033.52</v>
      </c>
    </row>
    <row r="117" spans="1:20" x14ac:dyDescent="0.4">
      <c r="A117" s="9"/>
      <c r="B117" s="9"/>
      <c r="C117" s="9" t="s">
        <v>155</v>
      </c>
      <c r="D117" s="191"/>
      <c r="E117" s="13"/>
      <c r="F117" s="21">
        <f>+'Changed-Conso'!N41</f>
        <v>1051895506.45</v>
      </c>
      <c r="G117" s="21"/>
      <c r="H117" s="184">
        <v>904903721.63999999</v>
      </c>
      <c r="I117" s="156"/>
      <c r="J117" s="21">
        <f>+'Changed-Com'!T39</f>
        <v>888029544.32999992</v>
      </c>
      <c r="K117" s="21"/>
      <c r="L117" s="21">
        <v>944772321.66999996</v>
      </c>
    </row>
    <row r="118" spans="1:20" x14ac:dyDescent="0.4">
      <c r="A118" s="9"/>
      <c r="B118" s="9" t="s">
        <v>229</v>
      </c>
      <c r="D118" s="3"/>
      <c r="E118" s="3"/>
      <c r="F118" s="157">
        <f>+'Changed-Conso'!T41</f>
        <v>30867761.669999998</v>
      </c>
      <c r="G118" s="21"/>
      <c r="H118" s="157">
        <v>7757018.6100000003</v>
      </c>
      <c r="I118" s="156"/>
      <c r="J118" s="157">
        <v>0</v>
      </c>
      <c r="K118" s="21"/>
      <c r="L118" s="157">
        <v>0</v>
      </c>
    </row>
    <row r="119" spans="1:20" x14ac:dyDescent="0.4">
      <c r="A119" s="9"/>
      <c r="B119" s="9"/>
      <c r="C119" s="9" t="s">
        <v>264</v>
      </c>
      <c r="D119" s="13"/>
      <c r="E119" s="13"/>
      <c r="F119" s="14">
        <f>SUM(F112:F118)</f>
        <v>3043231644.5699997</v>
      </c>
      <c r="G119" s="14"/>
      <c r="H119" s="14">
        <f>SUM(H112:H118)</f>
        <v>2873129116.6999998</v>
      </c>
      <c r="I119" s="156"/>
      <c r="J119" s="14">
        <f>SUM(J112:J118)</f>
        <v>2848497920.7799997</v>
      </c>
      <c r="K119" s="14"/>
      <c r="L119" s="14">
        <f>SUM(L112:L118)</f>
        <v>2905240698.1199999</v>
      </c>
    </row>
    <row r="120" spans="1:20" x14ac:dyDescent="0.4">
      <c r="A120" s="9"/>
      <c r="B120" s="9" t="s">
        <v>233</v>
      </c>
      <c r="C120" s="9"/>
      <c r="D120" s="13"/>
      <c r="E120" s="13"/>
      <c r="F120" s="185">
        <f>+'Changed-Conso'!X41</f>
        <v>62311861.82</v>
      </c>
      <c r="G120" s="184"/>
      <c r="H120" s="185">
        <v>62559877.350000001</v>
      </c>
      <c r="I120" s="156"/>
      <c r="J120" s="157">
        <v>0</v>
      </c>
      <c r="K120" s="21"/>
      <c r="L120" s="157">
        <v>0</v>
      </c>
    </row>
    <row r="121" spans="1:20" x14ac:dyDescent="0.4">
      <c r="A121" s="9"/>
      <c r="B121" s="9"/>
      <c r="C121" s="9" t="s">
        <v>265</v>
      </c>
      <c r="D121" s="13"/>
      <c r="E121" s="13"/>
      <c r="F121" s="14">
        <f>+F120+F119</f>
        <v>3105543506.3899999</v>
      </c>
      <c r="G121" s="14"/>
      <c r="H121" s="14">
        <f>+H120+H119</f>
        <v>2935688994.0499997</v>
      </c>
      <c r="I121" s="156"/>
      <c r="J121" s="14">
        <f>+J120+J119</f>
        <v>2848497920.7799997</v>
      </c>
      <c r="K121" s="14"/>
      <c r="L121" s="14">
        <f>+L120+L119</f>
        <v>2905240698.1199999</v>
      </c>
    </row>
    <row r="122" spans="1:20" ht="18.75" thickBot="1" x14ac:dyDescent="0.45">
      <c r="A122" s="18" t="s">
        <v>156</v>
      </c>
      <c r="B122" s="9"/>
      <c r="C122" s="9"/>
      <c r="D122" s="13"/>
      <c r="E122" s="13"/>
      <c r="F122" s="161">
        <f>+F121+F82</f>
        <v>3686896659.1700001</v>
      </c>
      <c r="G122" s="21"/>
      <c r="H122" s="161">
        <f>+H121+H82</f>
        <v>3548441253.1199999</v>
      </c>
      <c r="I122" s="156"/>
      <c r="J122" s="161">
        <f>+J121+J82</f>
        <v>3460948892.6899996</v>
      </c>
      <c r="K122" s="21"/>
      <c r="L122" s="161">
        <f>+L121+L82</f>
        <v>3608588724.0099998</v>
      </c>
      <c r="N122" s="1">
        <f>F122-F43</f>
        <v>0</v>
      </c>
      <c r="P122" s="1" t="e">
        <f>#REF!-#REF!</f>
        <v>#REF!</v>
      </c>
      <c r="R122" s="1">
        <f>J122-J43</f>
        <v>0</v>
      </c>
      <c r="T122" s="1" t="e">
        <f>#REF!-#REF!</f>
        <v>#REF!</v>
      </c>
    </row>
    <row r="123" spans="1:20" ht="18.75" thickTop="1" x14ac:dyDescent="0.4">
      <c r="A123" s="9"/>
      <c r="F123" s="192"/>
      <c r="G123" s="192"/>
      <c r="H123" s="192"/>
      <c r="I123" s="189"/>
      <c r="J123" s="4"/>
      <c r="K123" s="4"/>
      <c r="L123" s="4"/>
    </row>
    <row r="124" spans="1:20" x14ac:dyDescent="0.4">
      <c r="A124" s="15" t="str">
        <f>+A45</f>
        <v>The accompanying interim notes to financial statements are an integral part of these interim financial statements.</v>
      </c>
      <c r="B124" s="9"/>
      <c r="C124" s="9"/>
      <c r="D124" s="13"/>
      <c r="E124" s="13"/>
      <c r="F124" s="21"/>
      <c r="G124" s="21"/>
      <c r="H124" s="21"/>
      <c r="I124" s="156"/>
      <c r="J124" s="21"/>
      <c r="K124" s="21"/>
      <c r="L124" s="21"/>
    </row>
    <row r="125" spans="1:20" x14ac:dyDescent="0.4">
      <c r="A125" s="9"/>
      <c r="B125" s="9"/>
      <c r="C125" s="9"/>
      <c r="D125" s="13"/>
      <c r="E125" s="13"/>
      <c r="F125" s="17"/>
      <c r="G125" s="17"/>
      <c r="H125" s="17"/>
      <c r="I125" s="9"/>
      <c r="J125" s="17"/>
      <c r="K125" s="17"/>
      <c r="L125" s="17"/>
    </row>
    <row r="126" spans="1:20" x14ac:dyDescent="0.4">
      <c r="A126" s="9"/>
      <c r="B126" s="9"/>
      <c r="C126" s="9"/>
      <c r="D126" s="13"/>
      <c r="E126" s="13"/>
      <c r="F126" s="17"/>
      <c r="G126" s="17"/>
      <c r="H126" s="17"/>
      <c r="I126" s="9"/>
      <c r="J126" s="17"/>
      <c r="K126" s="17"/>
      <c r="L126" s="17"/>
    </row>
    <row r="127" spans="1:20" x14ac:dyDescent="0.4">
      <c r="A127" s="9"/>
      <c r="B127" s="9"/>
      <c r="C127" s="9"/>
      <c r="D127" s="13"/>
      <c r="E127" s="13"/>
      <c r="F127" s="17"/>
      <c r="G127" s="17"/>
      <c r="H127" s="17"/>
      <c r="I127" s="9"/>
      <c r="J127" s="17"/>
      <c r="K127" s="17"/>
      <c r="L127" s="17"/>
    </row>
    <row r="128" spans="1:20" x14ac:dyDescent="0.4">
      <c r="A128" s="9"/>
      <c r="B128" s="9"/>
      <c r="C128" s="9"/>
      <c r="D128" s="13"/>
      <c r="E128" s="13"/>
      <c r="F128" s="17"/>
      <c r="G128" s="17"/>
      <c r="H128" s="17"/>
      <c r="I128" s="9"/>
      <c r="J128" s="17"/>
      <c r="K128" s="17"/>
      <c r="L128" s="17"/>
    </row>
    <row r="129" spans="1:12" x14ac:dyDescent="0.4">
      <c r="A129" s="9"/>
      <c r="B129" s="9"/>
      <c r="C129" s="9"/>
      <c r="D129" s="13"/>
      <c r="E129" s="13"/>
      <c r="F129" s="17"/>
      <c r="G129" s="17"/>
      <c r="H129" s="17"/>
      <c r="I129" s="9"/>
      <c r="J129" s="17"/>
      <c r="K129" s="17"/>
      <c r="L129" s="17"/>
    </row>
    <row r="130" spans="1:12" x14ac:dyDescent="0.4">
      <c r="A130" s="9"/>
      <c r="B130" s="9"/>
      <c r="C130" s="9"/>
      <c r="D130" s="13"/>
      <c r="E130" s="13"/>
      <c r="F130" s="17"/>
      <c r="G130" s="17"/>
      <c r="H130" s="17"/>
      <c r="I130" s="9"/>
      <c r="J130" s="17"/>
      <c r="K130" s="17"/>
      <c r="L130" s="17"/>
    </row>
    <row r="131" spans="1:12" x14ac:dyDescent="0.4">
      <c r="A131" s="9"/>
      <c r="B131" s="9"/>
      <c r="C131" s="9"/>
      <c r="D131" s="13"/>
      <c r="E131" s="13"/>
      <c r="F131" s="17"/>
      <c r="G131" s="17"/>
      <c r="H131" s="17"/>
      <c r="I131" s="9"/>
      <c r="J131" s="17"/>
      <c r="K131" s="17"/>
      <c r="L131" s="17"/>
    </row>
    <row r="132" spans="1:12" x14ac:dyDescent="0.4">
      <c r="A132" s="9"/>
      <c r="B132" s="9"/>
      <c r="C132" s="9"/>
      <c r="D132" s="13"/>
      <c r="E132" s="13"/>
      <c r="F132" s="17"/>
      <c r="G132" s="17"/>
      <c r="H132" s="17"/>
      <c r="I132" s="9"/>
      <c r="J132" s="17"/>
      <c r="K132" s="17"/>
      <c r="L132" s="17"/>
    </row>
    <row r="133" spans="1:12" x14ac:dyDescent="0.4">
      <c r="B133" s="9"/>
      <c r="C133" s="9"/>
      <c r="D133" s="13"/>
      <c r="E133" s="13"/>
      <c r="F133" s="13"/>
      <c r="G133" s="13"/>
      <c r="H133" s="13"/>
      <c r="I133" s="9"/>
      <c r="J133" s="17"/>
      <c r="K133" s="17"/>
      <c r="L133" s="17"/>
    </row>
    <row r="134" spans="1:12" x14ac:dyDescent="0.4">
      <c r="A134" s="131"/>
      <c r="B134" s="9"/>
      <c r="C134" s="9"/>
      <c r="D134" s="13"/>
      <c r="E134" s="13"/>
      <c r="F134" s="13"/>
      <c r="G134" s="13"/>
      <c r="H134" s="13"/>
      <c r="I134" s="9"/>
      <c r="J134" s="17"/>
      <c r="K134" s="17"/>
      <c r="L134" s="17"/>
    </row>
    <row r="135" spans="1:12" x14ac:dyDescent="0.4">
      <c r="A135" s="131"/>
      <c r="B135" s="9"/>
      <c r="C135" s="9"/>
      <c r="D135" s="13"/>
      <c r="E135" s="13"/>
      <c r="F135" s="13"/>
      <c r="G135" s="13"/>
      <c r="H135" s="13"/>
      <c r="I135" s="9"/>
      <c r="J135" s="17"/>
      <c r="K135" s="17"/>
      <c r="L135" s="17"/>
    </row>
    <row r="136" spans="1:12" x14ac:dyDescent="0.4">
      <c r="A136" s="131"/>
      <c r="B136" s="9"/>
      <c r="C136" s="9"/>
      <c r="D136" s="13"/>
      <c r="E136" s="13"/>
      <c r="F136" s="13"/>
      <c r="G136" s="13"/>
      <c r="H136" s="13"/>
      <c r="I136" s="9"/>
      <c r="J136" s="17"/>
      <c r="K136" s="17"/>
      <c r="L136" s="17"/>
    </row>
    <row r="137" spans="1:12" x14ac:dyDescent="0.4">
      <c r="A137" s="131"/>
      <c r="B137" s="9"/>
      <c r="C137" s="9"/>
      <c r="D137" s="13"/>
      <c r="E137" s="13"/>
      <c r="F137" s="13"/>
      <c r="G137" s="13"/>
      <c r="H137" s="13"/>
      <c r="I137" s="9"/>
      <c r="J137" s="17"/>
      <c r="K137" s="17"/>
      <c r="L137" s="17"/>
    </row>
    <row r="138" spans="1:12" x14ac:dyDescent="0.4">
      <c r="C138" s="9"/>
      <c r="D138" s="13"/>
      <c r="E138" s="13"/>
      <c r="F138" s="13"/>
      <c r="G138" s="13"/>
      <c r="H138" s="13"/>
      <c r="I138" s="9"/>
      <c r="J138" s="17"/>
      <c r="K138" s="17"/>
      <c r="L138" s="17"/>
    </row>
    <row r="139" spans="1:12" x14ac:dyDescent="0.4">
      <c r="A139" s="13"/>
      <c r="B139" s="24" t="s">
        <v>145</v>
      </c>
      <c r="C139" s="13"/>
      <c r="D139" s="24"/>
      <c r="E139" s="13"/>
      <c r="G139" s="24"/>
      <c r="H139" s="24" t="s">
        <v>145</v>
      </c>
      <c r="I139" s="13"/>
      <c r="J139" s="13"/>
      <c r="K139" s="13"/>
      <c r="L139" s="13"/>
    </row>
    <row r="140" spans="1:12" ht="17.25" customHeight="1" x14ac:dyDescent="0.4">
      <c r="A140" s="221"/>
      <c r="B140" s="221"/>
      <c r="C140" s="221"/>
      <c r="D140" s="221"/>
      <c r="E140" s="221"/>
      <c r="F140" s="221"/>
      <c r="G140" s="221"/>
      <c r="H140" s="221"/>
      <c r="I140" s="221"/>
      <c r="J140" s="221"/>
      <c r="K140" s="221"/>
      <c r="L140" s="221"/>
    </row>
    <row r="141" spans="1:12" x14ac:dyDescent="0.4">
      <c r="A141" s="9"/>
      <c r="B141" s="9"/>
      <c r="C141" s="9"/>
      <c r="D141" s="193" t="s">
        <v>244</v>
      </c>
      <c r="E141" s="13"/>
      <c r="F141" s="21">
        <f>+F122-F43</f>
        <v>0</v>
      </c>
      <c r="G141" s="21"/>
      <c r="H141" s="21">
        <f>+H122-H43</f>
        <v>0</v>
      </c>
      <c r="I141" s="9"/>
      <c r="J141" s="21">
        <f>+J122-J43</f>
        <v>0</v>
      </c>
      <c r="K141" s="21"/>
      <c r="L141" s="21">
        <f>+L122-L43</f>
        <v>0</v>
      </c>
    </row>
  </sheetData>
  <mergeCells count="23">
    <mergeCell ref="A11:C11"/>
    <mergeCell ref="A5:L5"/>
    <mergeCell ref="A3:L3"/>
    <mergeCell ref="A4:L4"/>
    <mergeCell ref="F6:L6"/>
    <mergeCell ref="F7:H7"/>
    <mergeCell ref="J7:L7"/>
    <mergeCell ref="A140:L140"/>
    <mergeCell ref="A98:L98"/>
    <mergeCell ref="F100:L100"/>
    <mergeCell ref="A59:C59"/>
    <mergeCell ref="A94:L94"/>
    <mergeCell ref="A97:L97"/>
    <mergeCell ref="A99:L99"/>
    <mergeCell ref="F101:H101"/>
    <mergeCell ref="J101:L101"/>
    <mergeCell ref="F55:H55"/>
    <mergeCell ref="J55:L55"/>
    <mergeCell ref="A48:L48"/>
    <mergeCell ref="A51:L51"/>
    <mergeCell ref="F54:L54"/>
    <mergeCell ref="A52:L52"/>
    <mergeCell ref="A53:L53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&amp;C&amp;P</oddFooter>
  </headerFooter>
  <rowBreaks count="2" manualBreakCount="2">
    <brk id="48" max="15" man="1"/>
    <brk id="9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48"/>
  <sheetViews>
    <sheetView view="pageBreakPreview" zoomScaleNormal="100" zoomScaleSheetLayoutView="100" workbookViewId="0">
      <selection activeCell="A10" sqref="A10"/>
    </sheetView>
  </sheetViews>
  <sheetFormatPr defaultColWidth="9.140625" defaultRowHeight="18" x14ac:dyDescent="0.4"/>
  <cols>
    <col min="1" max="1" width="35.140625" style="9" customWidth="1"/>
    <col min="2" max="2" width="5.140625" style="9" customWidth="1"/>
    <col min="3" max="3" width="1.140625" style="9" customWidth="1"/>
    <col min="4" max="4" width="13.140625" style="9" customWidth="1"/>
    <col min="5" max="5" width="1.140625" style="9" customWidth="1"/>
    <col min="6" max="6" width="10.85546875" style="9" hidden="1" customWidth="1"/>
    <col min="7" max="7" width="1.140625" style="9" hidden="1" customWidth="1"/>
    <col min="8" max="8" width="11.5703125" style="9" customWidth="1"/>
    <col min="9" max="9" width="1.140625" style="9" hidden="1" customWidth="1"/>
    <col min="10" max="10" width="11.85546875" style="9" hidden="1" customWidth="1"/>
    <col min="11" max="11" width="0.85546875" style="9" customWidth="1"/>
    <col min="12" max="12" width="11.85546875" style="9" customWidth="1"/>
    <col min="13" max="13" width="1" style="9" customWidth="1"/>
    <col min="14" max="14" width="12.7109375" style="9" customWidth="1"/>
    <col min="15" max="15" width="1" style="9" customWidth="1"/>
    <col min="16" max="16" width="13.42578125" style="9" customWidth="1"/>
    <col min="17" max="17" width="1" style="9" customWidth="1"/>
    <col min="18" max="18" width="11.85546875" style="9" customWidth="1"/>
    <col min="19" max="19" width="1" style="9" customWidth="1"/>
    <col min="20" max="20" width="12.85546875" style="9" customWidth="1"/>
    <col min="21" max="21" width="1.140625" style="9" customWidth="1"/>
    <col min="22" max="22" width="12.85546875" style="9" bestFit="1" customWidth="1"/>
    <col min="23" max="23" width="1.140625" style="9" customWidth="1"/>
    <col min="24" max="24" width="11.85546875" style="9" bestFit="1" customWidth="1"/>
    <col min="25" max="25" width="1.140625" style="9" customWidth="1"/>
    <col min="26" max="26" width="12.85546875" style="9" bestFit="1" customWidth="1"/>
    <col min="27" max="27" width="11.28515625" style="9" hidden="1" customWidth="1"/>
    <col min="28" max="28" width="12.42578125" style="9" hidden="1" customWidth="1"/>
    <col min="29" max="29" width="16.85546875" style="9" hidden="1" customWidth="1"/>
    <col min="30" max="16384" width="9.140625" style="9"/>
  </cols>
  <sheetData>
    <row r="1" spans="1:29" ht="21.75" customHeight="1" x14ac:dyDescent="0.4">
      <c r="A1" s="3"/>
      <c r="X1" s="227" t="s">
        <v>338</v>
      </c>
      <c r="Y1" s="227"/>
      <c r="Z1" s="227"/>
    </row>
    <row r="2" spans="1:29" x14ac:dyDescent="0.4">
      <c r="A2" s="228" t="s">
        <v>131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</row>
    <row r="3" spans="1:29" x14ac:dyDescent="0.4">
      <c r="A3" s="228" t="s">
        <v>258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18"/>
      <c r="AB3" s="18"/>
    </row>
    <row r="4" spans="1:29" ht="18" customHeight="1" x14ac:dyDescent="0.4">
      <c r="A4" s="228" t="s">
        <v>207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</row>
    <row r="5" spans="1:29" x14ac:dyDescent="0.4">
      <c r="A5" s="228" t="s">
        <v>375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</row>
    <row r="6" spans="1:29" ht="7.5" customHeight="1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9" x14ac:dyDescent="0.4">
      <c r="A7" s="28"/>
      <c r="B7" s="8"/>
      <c r="C7" s="8"/>
      <c r="D7" s="231" t="s">
        <v>166</v>
      </c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</row>
    <row r="8" spans="1:29" x14ac:dyDescent="0.4">
      <c r="A8" s="28"/>
      <c r="B8" s="8"/>
      <c r="C8" s="8"/>
      <c r="D8" s="21"/>
      <c r="E8" s="21"/>
      <c r="F8" s="128"/>
      <c r="G8" s="128"/>
      <c r="H8" s="128"/>
      <c r="I8" s="21"/>
      <c r="J8" s="21"/>
      <c r="K8" s="21"/>
      <c r="L8" s="229" t="s">
        <v>153</v>
      </c>
      <c r="M8" s="229"/>
      <c r="N8" s="229"/>
      <c r="O8" s="14"/>
      <c r="P8" s="230" t="s">
        <v>229</v>
      </c>
      <c r="Q8" s="230"/>
      <c r="R8" s="230"/>
      <c r="S8" s="230"/>
      <c r="T8" s="230"/>
      <c r="U8" s="8"/>
      <c r="V8" s="150"/>
      <c r="W8" s="147"/>
      <c r="X8" s="151"/>
    </row>
    <row r="9" spans="1:29" x14ac:dyDescent="0.4">
      <c r="D9" s="128"/>
      <c r="E9" s="14"/>
      <c r="F9" s="128"/>
      <c r="G9" s="128"/>
      <c r="H9" s="128"/>
      <c r="I9" s="14"/>
      <c r="J9" s="30" t="s">
        <v>285</v>
      </c>
      <c r="K9" s="14"/>
      <c r="O9" s="30"/>
      <c r="P9" s="30"/>
      <c r="Q9" s="30"/>
      <c r="R9" s="33" t="s">
        <v>299</v>
      </c>
      <c r="S9" s="33"/>
      <c r="T9" s="32"/>
      <c r="U9" s="14"/>
      <c r="V9" s="13" t="s">
        <v>256</v>
      </c>
      <c r="W9" s="32"/>
    </row>
    <row r="10" spans="1:29" x14ac:dyDescent="0.4">
      <c r="B10" s="13"/>
      <c r="D10" s="30" t="s">
        <v>203</v>
      </c>
      <c r="E10" s="30"/>
      <c r="F10" s="30"/>
      <c r="G10" s="30"/>
      <c r="H10" s="30" t="s">
        <v>283</v>
      </c>
      <c r="I10" s="30"/>
      <c r="J10" s="30" t="s">
        <v>286</v>
      </c>
      <c r="K10" s="30"/>
      <c r="L10" s="30"/>
      <c r="M10" s="30"/>
      <c r="N10" s="30"/>
      <c r="O10" s="30"/>
      <c r="P10" s="30" t="s">
        <v>170</v>
      </c>
      <c r="Q10" s="30"/>
      <c r="R10" s="33" t="s">
        <v>300</v>
      </c>
      <c r="S10" s="33"/>
      <c r="T10" s="32" t="s">
        <v>231</v>
      </c>
      <c r="U10" s="14"/>
      <c r="V10" s="8" t="s">
        <v>255</v>
      </c>
      <c r="W10" s="32"/>
      <c r="X10" s="32" t="s">
        <v>227</v>
      </c>
    </row>
    <row r="11" spans="1:29" x14ac:dyDescent="0.4">
      <c r="B11" s="13"/>
      <c r="D11" s="30" t="s">
        <v>167</v>
      </c>
      <c r="E11" s="30"/>
      <c r="F11" s="30"/>
      <c r="G11" s="30"/>
      <c r="H11" s="30" t="s">
        <v>284</v>
      </c>
      <c r="I11" s="30"/>
      <c r="J11" s="30" t="s">
        <v>287</v>
      </c>
      <c r="K11" s="30"/>
      <c r="L11" s="30" t="s">
        <v>174</v>
      </c>
      <c r="M11" s="30"/>
      <c r="N11" s="30"/>
      <c r="O11" s="30"/>
      <c r="P11" s="30" t="s">
        <v>171</v>
      </c>
      <c r="Q11" s="30"/>
      <c r="R11" s="33" t="s">
        <v>301</v>
      </c>
      <c r="S11" s="33"/>
      <c r="T11" s="30" t="s">
        <v>232</v>
      </c>
      <c r="U11" s="14"/>
      <c r="V11" s="8" t="s">
        <v>220</v>
      </c>
      <c r="W11" s="32"/>
      <c r="X11" s="32" t="s">
        <v>228</v>
      </c>
    </row>
    <row r="12" spans="1:29" x14ac:dyDescent="0.4">
      <c r="B12" s="155" t="s">
        <v>219</v>
      </c>
      <c r="D12" s="181" t="s">
        <v>168</v>
      </c>
      <c r="E12" s="181"/>
      <c r="F12" s="181" t="s">
        <v>245</v>
      </c>
      <c r="G12" s="181"/>
      <c r="H12" s="181" t="s">
        <v>169</v>
      </c>
      <c r="I12" s="181"/>
      <c r="J12" s="181" t="s">
        <v>288</v>
      </c>
      <c r="K12" s="181"/>
      <c r="L12" s="181" t="s">
        <v>175</v>
      </c>
      <c r="M12" s="181"/>
      <c r="N12" s="181" t="s">
        <v>155</v>
      </c>
      <c r="O12" s="33"/>
      <c r="P12" s="181" t="s">
        <v>172</v>
      </c>
      <c r="Q12" s="33"/>
      <c r="R12" s="181" t="s">
        <v>302</v>
      </c>
      <c r="S12" s="33"/>
      <c r="T12" s="181" t="s">
        <v>230</v>
      </c>
      <c r="U12" s="14"/>
      <c r="V12" s="36" t="s">
        <v>221</v>
      </c>
      <c r="W12" s="32"/>
      <c r="X12" s="180" t="s">
        <v>249</v>
      </c>
      <c r="Z12" s="180" t="s">
        <v>176</v>
      </c>
      <c r="AC12" s="33"/>
    </row>
    <row r="13" spans="1:29" x14ac:dyDescent="0.4">
      <c r="C13" s="33"/>
      <c r="D13" s="156"/>
      <c r="E13" s="156"/>
      <c r="F13" s="156"/>
      <c r="G13" s="156"/>
      <c r="H13" s="156"/>
      <c r="I13" s="156"/>
      <c r="J13" s="156"/>
      <c r="K13" s="156"/>
      <c r="L13" s="33"/>
      <c r="M13" s="33"/>
      <c r="N13" s="165"/>
      <c r="O13" s="156"/>
      <c r="P13" s="156"/>
      <c r="Q13" s="156"/>
      <c r="R13" s="33"/>
      <c r="S13" s="33"/>
      <c r="T13" s="33"/>
      <c r="U13" s="156"/>
      <c r="V13" s="33"/>
      <c r="W13" s="33"/>
      <c r="X13" s="33"/>
      <c r="Y13" s="156"/>
      <c r="Z13" s="165"/>
    </row>
    <row r="14" spans="1:29" x14ac:dyDescent="0.4">
      <c r="A14" s="9" t="s">
        <v>330</v>
      </c>
      <c r="D14" s="21">
        <v>1164401069.76</v>
      </c>
      <c r="E14" s="21"/>
      <c r="F14" s="21">
        <v>0</v>
      </c>
      <c r="G14" s="21"/>
      <c r="H14" s="21">
        <v>688264273.16999996</v>
      </c>
      <c r="I14" s="21"/>
      <c r="J14" s="21">
        <v>0</v>
      </c>
      <c r="K14" s="21"/>
      <c r="L14" s="21">
        <v>101508576.81</v>
      </c>
      <c r="M14" s="21"/>
      <c r="N14" s="21">
        <v>640369161.44000006</v>
      </c>
      <c r="O14" s="21"/>
      <c r="P14" s="21">
        <v>17740596.210000001</v>
      </c>
      <c r="Q14" s="21"/>
      <c r="R14" s="21">
        <v>0</v>
      </c>
      <c r="S14" s="21"/>
      <c r="T14" s="21">
        <f>SUM(P14:S14)</f>
        <v>17740596.210000001</v>
      </c>
      <c r="U14" s="21"/>
      <c r="V14" s="21">
        <f>SUM(D14:O14)+T14</f>
        <v>2612283677.3899999</v>
      </c>
      <c r="W14" s="21"/>
      <c r="X14" s="21">
        <v>62855854.490000002</v>
      </c>
      <c r="Y14" s="156"/>
      <c r="Z14" s="21">
        <f>SUM(V14:X14)</f>
        <v>2675139531.8799996</v>
      </c>
      <c r="AB14" s="156"/>
      <c r="AC14" s="156"/>
    </row>
    <row r="15" spans="1:29" ht="6.75" customHeight="1" x14ac:dyDescent="0.4">
      <c r="B15" s="13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156"/>
      <c r="Z15" s="21"/>
    </row>
    <row r="16" spans="1:29" x14ac:dyDescent="0.4">
      <c r="A16" s="9" t="s">
        <v>277</v>
      </c>
      <c r="B16" s="13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156"/>
      <c r="Z16" s="21"/>
    </row>
    <row r="17" spans="1:29" hidden="1" x14ac:dyDescent="0.4">
      <c r="A17" s="9" t="s">
        <v>305</v>
      </c>
      <c r="B17" s="13"/>
      <c r="D17" s="21">
        <v>0</v>
      </c>
      <c r="E17" s="14"/>
      <c r="F17" s="21">
        <v>0</v>
      </c>
      <c r="G17" s="21"/>
      <c r="H17" s="21">
        <v>0</v>
      </c>
      <c r="I17" s="14"/>
      <c r="J17" s="21">
        <v>0</v>
      </c>
      <c r="K17" s="21"/>
      <c r="L17" s="21">
        <v>0</v>
      </c>
      <c r="M17" s="21"/>
      <c r="N17" s="21">
        <v>0</v>
      </c>
      <c r="O17" s="21"/>
      <c r="P17" s="21">
        <v>0</v>
      </c>
      <c r="Q17" s="21"/>
      <c r="R17" s="21">
        <v>0</v>
      </c>
      <c r="S17" s="21"/>
      <c r="T17" s="21">
        <f t="shared" ref="T17" si="0">SUM(P17:S17)</f>
        <v>0</v>
      </c>
      <c r="U17" s="21"/>
      <c r="V17" s="21">
        <f t="shared" ref="V17" si="1">SUM(D17:O17)+T17</f>
        <v>0</v>
      </c>
      <c r="W17" s="21"/>
      <c r="X17" s="21">
        <v>0</v>
      </c>
      <c r="Y17" s="156"/>
      <c r="Z17" s="21">
        <f t="shared" ref="Z17" si="2">SUM(V17:X17)</f>
        <v>0</v>
      </c>
    </row>
    <row r="18" spans="1:29" hidden="1" x14ac:dyDescent="0.4">
      <c r="A18" s="9" t="s">
        <v>306</v>
      </c>
      <c r="B18" s="13"/>
      <c r="D18" s="21">
        <v>0</v>
      </c>
      <c r="E18" s="14"/>
      <c r="F18" s="21">
        <v>0</v>
      </c>
      <c r="G18" s="21"/>
      <c r="H18" s="21">
        <v>0</v>
      </c>
      <c r="I18" s="14"/>
      <c r="J18" s="21">
        <v>0</v>
      </c>
      <c r="K18" s="21"/>
      <c r="L18" s="21">
        <v>0</v>
      </c>
      <c r="M18" s="21"/>
      <c r="N18" s="21">
        <v>0</v>
      </c>
      <c r="O18" s="21"/>
      <c r="P18" s="21">
        <v>0</v>
      </c>
      <c r="Q18" s="21"/>
      <c r="R18" s="21">
        <v>0</v>
      </c>
      <c r="S18" s="21"/>
      <c r="T18" s="21">
        <f t="shared" ref="T18" si="3">SUM(P18:S18)</f>
        <v>0</v>
      </c>
      <c r="U18" s="21"/>
      <c r="V18" s="21">
        <f t="shared" ref="V18" si="4">SUM(D18:O18)+T18</f>
        <v>0</v>
      </c>
      <c r="W18" s="21"/>
      <c r="X18" s="21">
        <v>0</v>
      </c>
      <c r="Y18" s="156"/>
      <c r="Z18" s="21">
        <f t="shared" ref="Z18" si="5">SUM(V18:X18)</f>
        <v>0</v>
      </c>
    </row>
    <row r="19" spans="1:29" x14ac:dyDescent="0.4">
      <c r="A19" s="9" t="s">
        <v>271</v>
      </c>
      <c r="B19" s="13">
        <v>25</v>
      </c>
      <c r="D19" s="21">
        <v>0</v>
      </c>
      <c r="E19" s="14"/>
      <c r="F19" s="21">
        <v>0</v>
      </c>
      <c r="G19" s="21"/>
      <c r="H19" s="21">
        <v>0</v>
      </c>
      <c r="I19" s="14"/>
      <c r="J19" s="21">
        <v>0</v>
      </c>
      <c r="K19" s="21"/>
      <c r="L19" s="21">
        <v>0</v>
      </c>
      <c r="M19" s="21"/>
      <c r="N19" s="21">
        <v>-69862240.180000007</v>
      </c>
      <c r="O19" s="21"/>
      <c r="P19" s="21">
        <v>0</v>
      </c>
      <c r="Q19" s="21"/>
      <c r="R19" s="21">
        <v>0</v>
      </c>
      <c r="S19" s="21"/>
      <c r="T19" s="21">
        <f>SUM(P19:S19)</f>
        <v>0</v>
      </c>
      <c r="U19" s="21"/>
      <c r="V19" s="21">
        <f>SUM(D19:O19)+T19</f>
        <v>-69862240.180000007</v>
      </c>
      <c r="W19" s="21"/>
      <c r="X19" s="21">
        <v>0</v>
      </c>
      <c r="Y19" s="156"/>
      <c r="Z19" s="21">
        <f>SUM(V19:X19)</f>
        <v>-69862240.180000007</v>
      </c>
    </row>
    <row r="20" spans="1:29" hidden="1" x14ac:dyDescent="0.4">
      <c r="A20" s="9" t="s">
        <v>307</v>
      </c>
      <c r="B20" s="13"/>
      <c r="D20" s="21">
        <v>0</v>
      </c>
      <c r="E20" s="14"/>
      <c r="F20" s="21">
        <v>0</v>
      </c>
      <c r="G20" s="21"/>
      <c r="H20" s="21">
        <v>0</v>
      </c>
      <c r="I20" s="14"/>
      <c r="J20" s="21">
        <v>0</v>
      </c>
      <c r="K20" s="21"/>
      <c r="L20" s="21">
        <v>0</v>
      </c>
      <c r="M20" s="21"/>
      <c r="N20" s="21">
        <f>-L20</f>
        <v>0</v>
      </c>
      <c r="O20" s="21"/>
      <c r="P20" s="21">
        <v>0</v>
      </c>
      <c r="Q20" s="21"/>
      <c r="R20" s="21">
        <v>0</v>
      </c>
      <c r="S20" s="21"/>
      <c r="T20" s="21">
        <f>SUM(P20:S20)</f>
        <v>0</v>
      </c>
      <c r="U20" s="21"/>
      <c r="V20" s="21">
        <f>SUM(D20:O20)+T20</f>
        <v>0</v>
      </c>
      <c r="W20" s="21"/>
      <c r="X20" s="21">
        <v>0</v>
      </c>
      <c r="Y20" s="156"/>
      <c r="Z20" s="21">
        <f>SUM(V20:X20)</f>
        <v>0</v>
      </c>
    </row>
    <row r="21" spans="1:29" x14ac:dyDescent="0.4">
      <c r="A21" s="9" t="s">
        <v>332</v>
      </c>
      <c r="D21" s="21">
        <v>0</v>
      </c>
      <c r="E21" s="21"/>
      <c r="F21" s="21">
        <v>0</v>
      </c>
      <c r="G21" s="21"/>
      <c r="H21" s="21">
        <v>0</v>
      </c>
      <c r="I21" s="21"/>
      <c r="J21" s="21">
        <v>0</v>
      </c>
      <c r="K21" s="21"/>
      <c r="L21" s="14">
        <v>0</v>
      </c>
      <c r="M21" s="14"/>
      <c r="N21" s="14">
        <f>+'PL_Q2-67'!H41</f>
        <v>72543989.199999988</v>
      </c>
      <c r="O21" s="21"/>
      <c r="P21" s="21">
        <f>+'PL_Q2-67'!H73</f>
        <v>1032496.18</v>
      </c>
      <c r="Q21" s="21"/>
      <c r="R21" s="14">
        <v>0</v>
      </c>
      <c r="S21" s="14"/>
      <c r="T21" s="14">
        <f>SUM(P21:S21)</f>
        <v>1032496.18</v>
      </c>
      <c r="U21" s="21"/>
      <c r="V21" s="21">
        <f>SUM(D21:O21)+T21</f>
        <v>73576485.379999995</v>
      </c>
      <c r="W21" s="21"/>
      <c r="X21" s="21">
        <f>+'PL_Q2-67'!H42</f>
        <v>-373708.58</v>
      </c>
      <c r="Y21" s="156"/>
      <c r="Z21" s="21">
        <f>SUM(V21:X21)</f>
        <v>73202776.799999997</v>
      </c>
      <c r="AB21" s="156">
        <f>N21-'PL_Q2-67'!H41</f>
        <v>0</v>
      </c>
    </row>
    <row r="22" spans="1:29" hidden="1" x14ac:dyDescent="0.4">
      <c r="A22" s="9" t="s">
        <v>297</v>
      </c>
      <c r="D22" s="21"/>
      <c r="E22" s="21"/>
      <c r="F22" s="21"/>
      <c r="G22" s="21"/>
      <c r="H22" s="21"/>
      <c r="I22" s="21"/>
      <c r="J22" s="21"/>
      <c r="K22" s="21"/>
      <c r="L22" s="14"/>
      <c r="M22" s="14"/>
      <c r="N22" s="14"/>
      <c r="O22" s="21"/>
      <c r="P22" s="21"/>
      <c r="Q22" s="21"/>
      <c r="R22" s="14"/>
      <c r="S22" s="14"/>
      <c r="T22" s="14"/>
      <c r="U22" s="21"/>
      <c r="V22" s="21"/>
      <c r="W22" s="21"/>
      <c r="X22" s="21"/>
      <c r="Y22" s="156"/>
      <c r="Z22" s="21"/>
      <c r="AB22" s="156"/>
    </row>
    <row r="23" spans="1:29" hidden="1" x14ac:dyDescent="0.4">
      <c r="A23" s="9" t="s">
        <v>298</v>
      </c>
      <c r="D23" s="21">
        <v>0</v>
      </c>
      <c r="E23" s="21"/>
      <c r="F23" s="21">
        <v>0</v>
      </c>
      <c r="G23" s="21"/>
      <c r="H23" s="21">
        <v>0</v>
      </c>
      <c r="I23" s="21"/>
      <c r="J23" s="21">
        <v>0</v>
      </c>
      <c r="K23" s="21"/>
      <c r="L23" s="14">
        <v>0</v>
      </c>
      <c r="M23" s="14"/>
      <c r="N23" s="14">
        <f>-R23</f>
        <v>0</v>
      </c>
      <c r="O23" s="21"/>
      <c r="P23" s="21">
        <f>+'PL_Q2-67'!F62</f>
        <v>0</v>
      </c>
      <c r="Q23" s="21"/>
      <c r="R23" s="14">
        <f>-R21</f>
        <v>0</v>
      </c>
      <c r="S23" s="14"/>
      <c r="T23" s="14">
        <f>SUM(P23:S23)</f>
        <v>0</v>
      </c>
      <c r="U23" s="21"/>
      <c r="V23" s="21">
        <f>SUM(D23:O23)+T23</f>
        <v>0</v>
      </c>
      <c r="W23" s="21"/>
      <c r="X23" s="21">
        <v>0</v>
      </c>
      <c r="Y23" s="156"/>
      <c r="Z23" s="21">
        <f>SUM(V23:X23)</f>
        <v>0</v>
      </c>
      <c r="AB23" s="156"/>
    </row>
    <row r="24" spans="1:29" ht="9.75" customHeight="1" x14ac:dyDescent="0.4">
      <c r="B24" s="13"/>
      <c r="D24" s="157"/>
      <c r="E24" s="156"/>
      <c r="F24" s="157"/>
      <c r="G24" s="21"/>
      <c r="H24" s="157"/>
      <c r="I24" s="156"/>
      <c r="J24" s="157"/>
      <c r="K24" s="21"/>
      <c r="L24" s="157"/>
      <c r="M24" s="166"/>
      <c r="N24" s="157"/>
      <c r="O24" s="21"/>
      <c r="P24" s="157"/>
      <c r="Q24" s="21"/>
      <c r="R24" s="157"/>
      <c r="S24" s="21"/>
      <c r="T24" s="157"/>
      <c r="U24" s="156"/>
      <c r="V24" s="157"/>
      <c r="W24" s="21"/>
      <c r="X24" s="157"/>
      <c r="Y24" s="156"/>
      <c r="Z24" s="157"/>
    </row>
    <row r="25" spans="1:29" ht="10.5" customHeight="1" x14ac:dyDescent="0.4"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21"/>
      <c r="W25" s="21"/>
      <c r="X25" s="21"/>
      <c r="Y25" s="156"/>
      <c r="Z25" s="156"/>
    </row>
    <row r="26" spans="1:29" ht="18.75" thickBot="1" x14ac:dyDescent="0.45">
      <c r="A26" s="9" t="s">
        <v>379</v>
      </c>
      <c r="D26" s="167">
        <f>SUM(D14:D25)</f>
        <v>1164401069.76</v>
      </c>
      <c r="E26" s="14"/>
      <c r="F26" s="167">
        <f>SUM(F14:F25)</f>
        <v>0</v>
      </c>
      <c r="G26" s="21"/>
      <c r="H26" s="167">
        <f>SUM(H14:H25)</f>
        <v>688264273.16999996</v>
      </c>
      <c r="I26" s="14"/>
      <c r="J26" s="167">
        <f>SUM(J14:J25)</f>
        <v>0</v>
      </c>
      <c r="K26" s="21"/>
      <c r="L26" s="167">
        <f>SUM(L14:L25)</f>
        <v>101508576.81</v>
      </c>
      <c r="M26" s="14"/>
      <c r="N26" s="167">
        <f>SUM(N14:N25)</f>
        <v>643050910.46000004</v>
      </c>
      <c r="O26" s="21"/>
      <c r="P26" s="167">
        <f>SUM(P14:P25)</f>
        <v>18773092.390000001</v>
      </c>
      <c r="Q26" s="21"/>
      <c r="R26" s="167">
        <f>SUM(R14:R25)</f>
        <v>0</v>
      </c>
      <c r="S26" s="21"/>
      <c r="T26" s="167">
        <f>SUM(T14:T25)</f>
        <v>18773092.390000001</v>
      </c>
      <c r="U26" s="14"/>
      <c r="V26" s="167">
        <f>SUM(V14:V25)</f>
        <v>2615997922.5900002</v>
      </c>
      <c r="W26" s="21"/>
      <c r="X26" s="167">
        <f>SUM(X14:X25)</f>
        <v>62482145.910000004</v>
      </c>
      <c r="Y26" s="156"/>
      <c r="Z26" s="167">
        <f>SUM(Z14:Z25)</f>
        <v>2678480068.5</v>
      </c>
      <c r="AB26" s="156">
        <f>Z26-'BS_Q2-67'!H121</f>
        <v>-257208925.54999971</v>
      </c>
      <c r="AC26" s="156">
        <f>N26-'BS_Q2-67'!H117</f>
        <v>-261852811.17999995</v>
      </c>
    </row>
    <row r="27" spans="1:29" ht="12" customHeight="1" thickTop="1" x14ac:dyDescent="0.4"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</row>
    <row r="28" spans="1:29" x14ac:dyDescent="0.4">
      <c r="A28" s="9" t="s">
        <v>352</v>
      </c>
      <c r="D28" s="21">
        <v>1164401069.76</v>
      </c>
      <c r="E28" s="21"/>
      <c r="F28" s="21">
        <v>0</v>
      </c>
      <c r="G28" s="21"/>
      <c r="H28" s="21">
        <v>688264273.16999996</v>
      </c>
      <c r="I28" s="21"/>
      <c r="J28" s="21">
        <v>0</v>
      </c>
      <c r="K28" s="21"/>
      <c r="L28" s="21">
        <v>107803033.52</v>
      </c>
      <c r="M28" s="21"/>
      <c r="N28" s="21">
        <v>904903721.63999999</v>
      </c>
      <c r="O28" s="21"/>
      <c r="P28" s="21">
        <v>7757018.6100000003</v>
      </c>
      <c r="Q28" s="21"/>
      <c r="R28" s="21">
        <v>0</v>
      </c>
      <c r="S28" s="21"/>
      <c r="T28" s="21">
        <f>SUM(P28:S28)</f>
        <v>7757018.6100000003</v>
      </c>
      <c r="U28" s="21"/>
      <c r="V28" s="21">
        <f>SUM(D28:O28)+T28</f>
        <v>2873129116.6999998</v>
      </c>
      <c r="W28" s="21"/>
      <c r="X28" s="21">
        <v>62559877.350000001</v>
      </c>
      <c r="Y28" s="156"/>
      <c r="Z28" s="21">
        <f>SUM(V28:X28)</f>
        <v>2935688994.0499997</v>
      </c>
      <c r="AB28" s="156">
        <f>Z28-'BS_Q2-67'!H121</f>
        <v>0</v>
      </c>
    </row>
    <row r="29" spans="1:29" ht="9" customHeight="1" x14ac:dyDescent="0.4">
      <c r="B29" s="13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156"/>
      <c r="Z29" s="21"/>
    </row>
    <row r="30" spans="1:29" x14ac:dyDescent="0.4">
      <c r="A30" s="9" t="s">
        <v>277</v>
      </c>
      <c r="B30" s="13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156"/>
      <c r="Z30" s="21"/>
    </row>
    <row r="31" spans="1:29" hidden="1" x14ac:dyDescent="0.4">
      <c r="A31" s="9" t="s">
        <v>305</v>
      </c>
      <c r="B31" s="13"/>
      <c r="D31" s="21">
        <v>0</v>
      </c>
      <c r="E31" s="14"/>
      <c r="F31" s="21">
        <v>0</v>
      </c>
      <c r="G31" s="21"/>
      <c r="H31" s="21">
        <v>0</v>
      </c>
      <c r="I31" s="14"/>
      <c r="J31" s="21">
        <v>0</v>
      </c>
      <c r="K31" s="21"/>
      <c r="L31" s="21">
        <v>0</v>
      </c>
      <c r="M31" s="21"/>
      <c r="N31" s="21">
        <v>0</v>
      </c>
      <c r="O31" s="21"/>
      <c r="P31" s="21">
        <v>0</v>
      </c>
      <c r="Q31" s="21"/>
      <c r="R31" s="21">
        <v>0</v>
      </c>
      <c r="S31" s="21"/>
      <c r="T31" s="21">
        <f t="shared" ref="T31:T33" si="6">SUM(P31:S31)</f>
        <v>0</v>
      </c>
      <c r="U31" s="21"/>
      <c r="V31" s="21">
        <f t="shared" ref="V31:V33" si="7">SUM(D31:O31)+T31</f>
        <v>0</v>
      </c>
      <c r="W31" s="21"/>
      <c r="X31" s="21">
        <v>0</v>
      </c>
      <c r="Y31" s="156"/>
      <c r="Z31" s="21">
        <f t="shared" ref="Z31:Z33" si="8">SUM(V31:X31)</f>
        <v>0</v>
      </c>
    </row>
    <row r="32" spans="1:29" hidden="1" x14ac:dyDescent="0.4">
      <c r="A32" s="9" t="s">
        <v>324</v>
      </c>
      <c r="B32" s="13"/>
      <c r="D32" s="21">
        <v>0</v>
      </c>
      <c r="E32" s="14"/>
      <c r="F32" s="21">
        <v>0</v>
      </c>
      <c r="G32" s="21"/>
      <c r="H32" s="21">
        <v>0</v>
      </c>
      <c r="I32" s="14"/>
      <c r="J32" s="21">
        <v>0</v>
      </c>
      <c r="K32" s="21"/>
      <c r="L32" s="21">
        <v>0</v>
      </c>
      <c r="M32" s="21"/>
      <c r="N32" s="21">
        <f>-D32</f>
        <v>0</v>
      </c>
      <c r="O32" s="21"/>
      <c r="P32" s="21">
        <v>0</v>
      </c>
      <c r="Q32" s="21"/>
      <c r="R32" s="21">
        <v>0</v>
      </c>
      <c r="S32" s="21"/>
      <c r="T32" s="21">
        <f t="shared" ref="T32" si="9">SUM(P32:S32)</f>
        <v>0</v>
      </c>
      <c r="U32" s="21"/>
      <c r="V32" s="21">
        <f t="shared" ref="V32" si="10">SUM(D32:O32)+T32</f>
        <v>0</v>
      </c>
      <c r="W32" s="21"/>
      <c r="X32" s="21">
        <v>0</v>
      </c>
      <c r="Y32" s="156"/>
      <c r="Z32" s="21">
        <f t="shared" ref="Z32" si="11">SUM(V32:X32)</f>
        <v>0</v>
      </c>
    </row>
    <row r="33" spans="1:30" hidden="1" x14ac:dyDescent="0.4">
      <c r="A33" s="9" t="s">
        <v>306</v>
      </c>
      <c r="B33" s="13"/>
      <c r="D33" s="21">
        <v>0</v>
      </c>
      <c r="E33" s="14"/>
      <c r="F33" s="21">
        <v>0</v>
      </c>
      <c r="G33" s="21"/>
      <c r="H33" s="21">
        <v>0</v>
      </c>
      <c r="I33" s="14"/>
      <c r="J33" s="21">
        <v>0</v>
      </c>
      <c r="K33" s="21"/>
      <c r="L33" s="21">
        <v>0</v>
      </c>
      <c r="M33" s="21"/>
      <c r="N33" s="21">
        <v>0</v>
      </c>
      <c r="O33" s="21"/>
      <c r="P33" s="21">
        <v>0</v>
      </c>
      <c r="Q33" s="21"/>
      <c r="R33" s="21">
        <v>0</v>
      </c>
      <c r="S33" s="21"/>
      <c r="T33" s="21">
        <f t="shared" si="6"/>
        <v>0</v>
      </c>
      <c r="U33" s="21"/>
      <c r="V33" s="21">
        <f t="shared" si="7"/>
        <v>0</v>
      </c>
      <c r="W33" s="21"/>
      <c r="X33" s="21">
        <v>0</v>
      </c>
      <c r="Y33" s="156"/>
      <c r="Z33" s="21">
        <f t="shared" si="8"/>
        <v>0</v>
      </c>
    </row>
    <row r="34" spans="1:30" x14ac:dyDescent="0.4">
      <c r="A34" s="9" t="s">
        <v>271</v>
      </c>
      <c r="B34" s="13">
        <v>25</v>
      </c>
      <c r="D34" s="21">
        <v>0</v>
      </c>
      <c r="E34" s="14"/>
      <c r="F34" s="21">
        <v>0</v>
      </c>
      <c r="G34" s="21"/>
      <c r="H34" s="21">
        <v>0</v>
      </c>
      <c r="I34" s="14"/>
      <c r="J34" s="21">
        <v>0</v>
      </c>
      <c r="K34" s="21"/>
      <c r="L34" s="21">
        <v>0</v>
      </c>
      <c r="M34" s="21"/>
      <c r="N34" s="21">
        <v>-139725340.78</v>
      </c>
      <c r="O34" s="21"/>
      <c r="P34" s="21">
        <v>0</v>
      </c>
      <c r="Q34" s="21"/>
      <c r="R34" s="21">
        <v>0</v>
      </c>
      <c r="S34" s="21"/>
      <c r="T34" s="21">
        <f>SUM(P34:S34)</f>
        <v>0</v>
      </c>
      <c r="U34" s="21"/>
      <c r="V34" s="21">
        <f>SUM(D34:O34)+T34</f>
        <v>-139725340.78</v>
      </c>
      <c r="W34" s="21"/>
      <c r="X34" s="21">
        <v>0</v>
      </c>
      <c r="Y34" s="156"/>
      <c r="Z34" s="21">
        <f>SUM(V34:X34)</f>
        <v>-139725340.78</v>
      </c>
    </row>
    <row r="35" spans="1:30" hidden="1" x14ac:dyDescent="0.4">
      <c r="A35" s="9" t="s">
        <v>307</v>
      </c>
      <c r="B35" s="13"/>
      <c r="D35" s="21">
        <v>0</v>
      </c>
      <c r="E35" s="14"/>
      <c r="F35" s="21">
        <v>0</v>
      </c>
      <c r="G35" s="21"/>
      <c r="H35" s="21">
        <v>0</v>
      </c>
      <c r="I35" s="14"/>
      <c r="J35" s="21">
        <v>0</v>
      </c>
      <c r="K35" s="21"/>
      <c r="L35" s="21">
        <v>0</v>
      </c>
      <c r="M35" s="21"/>
      <c r="N35" s="21">
        <f>-L35</f>
        <v>0</v>
      </c>
      <c r="O35" s="21"/>
      <c r="P35" s="21">
        <v>0</v>
      </c>
      <c r="Q35" s="21"/>
      <c r="R35" s="21">
        <v>0</v>
      </c>
      <c r="S35" s="21"/>
      <c r="T35" s="21">
        <f>SUM(P35:S35)</f>
        <v>0</v>
      </c>
      <c r="U35" s="21"/>
      <c r="V35" s="21">
        <f>SUM(D35:O35)+T35</f>
        <v>0</v>
      </c>
      <c r="W35" s="21"/>
      <c r="X35" s="21">
        <v>0</v>
      </c>
      <c r="Y35" s="156"/>
      <c r="Z35" s="21">
        <f>SUM(V35:X35)</f>
        <v>0</v>
      </c>
    </row>
    <row r="36" spans="1:30" x14ac:dyDescent="0.4">
      <c r="A36" s="9" t="s">
        <v>332</v>
      </c>
      <c r="D36" s="21">
        <v>0</v>
      </c>
      <c r="E36" s="21"/>
      <c r="F36" s="21">
        <v>0</v>
      </c>
      <c r="G36" s="21"/>
      <c r="H36" s="21">
        <v>0</v>
      </c>
      <c r="I36" s="21"/>
      <c r="J36" s="21">
        <v>0</v>
      </c>
      <c r="K36" s="21"/>
      <c r="L36" s="14">
        <v>0</v>
      </c>
      <c r="M36" s="14"/>
      <c r="N36" s="14">
        <f>+'PL_Q2-67'!F41</f>
        <v>286717125.59000009</v>
      </c>
      <c r="O36" s="21"/>
      <c r="P36" s="21">
        <f>+'PL_Q2-67'!F73</f>
        <v>23110743.059999999</v>
      </c>
      <c r="Q36" s="21"/>
      <c r="R36" s="14">
        <v>0</v>
      </c>
      <c r="S36" s="14"/>
      <c r="T36" s="14">
        <f>SUM(P36:S36)</f>
        <v>23110743.059999999</v>
      </c>
      <c r="U36" s="21"/>
      <c r="V36" s="21">
        <f>SUM(D36:O36)+T36</f>
        <v>309827868.6500001</v>
      </c>
      <c r="W36" s="21"/>
      <c r="X36" s="21">
        <f>+'PL_Q2-67'!F42</f>
        <v>-248015.53</v>
      </c>
      <c r="Y36" s="156"/>
      <c r="Z36" s="21">
        <f>SUM(V36:X36)</f>
        <v>309579853.12000012</v>
      </c>
    </row>
    <row r="37" spans="1:30" hidden="1" x14ac:dyDescent="0.4">
      <c r="A37" s="9" t="s">
        <v>297</v>
      </c>
      <c r="D37" s="21"/>
      <c r="E37" s="21"/>
      <c r="F37" s="21"/>
      <c r="G37" s="21"/>
      <c r="H37" s="21"/>
      <c r="I37" s="21"/>
      <c r="J37" s="21"/>
      <c r="K37" s="21"/>
      <c r="L37" s="14"/>
      <c r="M37" s="14"/>
      <c r="N37" s="14"/>
      <c r="O37" s="21"/>
      <c r="P37" s="21"/>
      <c r="Q37" s="21"/>
      <c r="R37" s="14"/>
      <c r="S37" s="14"/>
      <c r="T37" s="14"/>
      <c r="U37" s="21"/>
      <c r="V37" s="21"/>
      <c r="W37" s="21"/>
      <c r="X37" s="21"/>
      <c r="Y37" s="156"/>
      <c r="Z37" s="21"/>
    </row>
    <row r="38" spans="1:30" hidden="1" x14ac:dyDescent="0.4">
      <c r="A38" s="9" t="s">
        <v>298</v>
      </c>
      <c r="D38" s="21">
        <v>0</v>
      </c>
      <c r="E38" s="21"/>
      <c r="F38" s="21">
        <v>0</v>
      </c>
      <c r="G38" s="21"/>
      <c r="H38" s="21">
        <v>0</v>
      </c>
      <c r="I38" s="21"/>
      <c r="J38" s="21">
        <v>0</v>
      </c>
      <c r="K38" s="21"/>
      <c r="L38" s="14">
        <v>0</v>
      </c>
      <c r="M38" s="14"/>
      <c r="N38" s="14">
        <f>-R38</f>
        <v>0</v>
      </c>
      <c r="O38" s="21"/>
      <c r="P38" s="21">
        <v>0</v>
      </c>
      <c r="Q38" s="21"/>
      <c r="R38" s="14">
        <f>-R36</f>
        <v>0</v>
      </c>
      <c r="S38" s="14"/>
      <c r="T38" s="14">
        <f>SUM(P38:S38)</f>
        <v>0</v>
      </c>
      <c r="U38" s="21"/>
      <c r="V38" s="21">
        <f>SUM(D38:O38)+T38</f>
        <v>0</v>
      </c>
      <c r="W38" s="21"/>
      <c r="X38" s="21">
        <v>0</v>
      </c>
      <c r="Y38" s="156"/>
      <c r="Z38" s="21">
        <f>SUM(V38:X38)</f>
        <v>0</v>
      </c>
    </row>
    <row r="39" spans="1:30" ht="9.75" customHeight="1" x14ac:dyDescent="0.4">
      <c r="B39" s="13"/>
      <c r="D39" s="157"/>
      <c r="E39" s="156"/>
      <c r="F39" s="157"/>
      <c r="G39" s="21"/>
      <c r="H39" s="157"/>
      <c r="I39" s="156"/>
      <c r="J39" s="157"/>
      <c r="K39" s="21"/>
      <c r="L39" s="157"/>
      <c r="M39" s="166"/>
      <c r="N39" s="157"/>
      <c r="O39" s="21"/>
      <c r="P39" s="157"/>
      <c r="Q39" s="21"/>
      <c r="R39" s="157"/>
      <c r="S39" s="21"/>
      <c r="T39" s="157"/>
      <c r="U39" s="156"/>
      <c r="V39" s="157"/>
      <c r="W39" s="21"/>
      <c r="X39" s="157"/>
      <c r="Y39" s="156"/>
      <c r="Z39" s="157"/>
    </row>
    <row r="40" spans="1:30" ht="11.25" customHeight="1" x14ac:dyDescent="0.4"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21"/>
      <c r="W40" s="21"/>
      <c r="X40" s="21"/>
      <c r="Y40" s="156"/>
      <c r="Z40" s="156"/>
    </row>
    <row r="41" spans="1:30" ht="18.75" thickBot="1" x14ac:dyDescent="0.45">
      <c r="A41" s="9" t="s">
        <v>380</v>
      </c>
      <c r="D41" s="167">
        <f>SUM(D28:D40)</f>
        <v>1164401069.76</v>
      </c>
      <c r="E41" s="14"/>
      <c r="F41" s="167">
        <f>SUM(F28:F40)</f>
        <v>0</v>
      </c>
      <c r="G41" s="21"/>
      <c r="H41" s="167">
        <f>SUM(H28:H40)</f>
        <v>688264273.16999996</v>
      </c>
      <c r="I41" s="14"/>
      <c r="J41" s="167">
        <f>SUM(J28:J40)</f>
        <v>0</v>
      </c>
      <c r="K41" s="21"/>
      <c r="L41" s="167">
        <f>SUM(L28:L40)</f>
        <v>107803033.52</v>
      </c>
      <c r="M41" s="14"/>
      <c r="N41" s="167">
        <f>SUM(N28:N40)</f>
        <v>1051895506.45</v>
      </c>
      <c r="O41" s="21"/>
      <c r="P41" s="167">
        <f>SUM(P28:P40)</f>
        <v>30867761.669999998</v>
      </c>
      <c r="Q41" s="21"/>
      <c r="R41" s="167">
        <f>SUM(R28:R40)</f>
        <v>0</v>
      </c>
      <c r="S41" s="21"/>
      <c r="T41" s="167">
        <f>SUM(T28:T40)</f>
        <v>30867761.669999998</v>
      </c>
      <c r="U41" s="14"/>
      <c r="V41" s="167">
        <f>SUM(V28:V40)</f>
        <v>3043231644.5699997</v>
      </c>
      <c r="W41" s="21"/>
      <c r="X41" s="167">
        <f>SUM(X28:X40)</f>
        <v>62311861.82</v>
      </c>
      <c r="Y41" s="156"/>
      <c r="Z41" s="167">
        <f>SUM(Z28:Z40)</f>
        <v>3105543506.3899994</v>
      </c>
      <c r="AB41" s="18">
        <f>Z41-'BS_Q2-67'!F121</f>
        <v>0</v>
      </c>
      <c r="AC41" s="156">
        <f>N41-'BS_Q2-67'!F117</f>
        <v>0</v>
      </c>
      <c r="AD41" s="156">
        <f>L41-'BS_Q2-67'!F116</f>
        <v>0</v>
      </c>
    </row>
    <row r="42" spans="1:30" ht="18.75" thickTop="1" x14ac:dyDescent="0.4"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B42" s="156">
        <f>N41-'BS_Q2-67'!F117</f>
        <v>0</v>
      </c>
    </row>
    <row r="43" spans="1:30" x14ac:dyDescent="0.4">
      <c r="A43" s="9" t="str">
        <f>+'BS_Q2-67'!A124</f>
        <v>The accompanying interim notes to financial statements are an integral part of these interim financial statements.</v>
      </c>
    </row>
    <row r="44" spans="1:30" x14ac:dyDescent="0.4">
      <c r="A44" s="131"/>
    </row>
    <row r="46" spans="1:30" s="3" customFormat="1" x14ac:dyDescent="0.4">
      <c r="A46" s="24" t="s">
        <v>145</v>
      </c>
      <c r="C46" s="13"/>
      <c r="D46" s="24"/>
      <c r="E46" s="13"/>
      <c r="F46" s="13"/>
      <c r="G46" s="13"/>
      <c r="H46" s="13"/>
      <c r="I46" s="13"/>
      <c r="K46" s="24"/>
      <c r="L46" s="24"/>
      <c r="M46" s="24"/>
      <c r="N46" s="24"/>
      <c r="O46" s="24"/>
      <c r="P46" s="24"/>
      <c r="Q46" s="24"/>
      <c r="R46" s="24" t="s">
        <v>145</v>
      </c>
      <c r="S46" s="24"/>
      <c r="T46" s="24"/>
      <c r="U46" s="13"/>
      <c r="V46" s="13"/>
      <c r="W46" s="13"/>
      <c r="X46" s="13"/>
      <c r="Y46" s="13"/>
      <c r="AB46" s="7"/>
    </row>
    <row r="47" spans="1:30" s="3" customFormat="1" x14ac:dyDescent="0.4">
      <c r="A47" s="221"/>
      <c r="B47" s="221"/>
      <c r="D47" s="24"/>
      <c r="E47" s="24"/>
      <c r="F47" s="24"/>
      <c r="G47" s="24"/>
      <c r="H47" s="24"/>
      <c r="I47" s="24"/>
      <c r="J47" s="24"/>
      <c r="K47" s="24"/>
      <c r="L47" s="13"/>
      <c r="M47" s="24"/>
      <c r="N47" s="13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AB47" s="7"/>
    </row>
    <row r="48" spans="1:30" x14ac:dyDescent="0.4">
      <c r="A48" s="25"/>
    </row>
  </sheetData>
  <mergeCells count="9">
    <mergeCell ref="X1:Z1"/>
    <mergeCell ref="A47:B47"/>
    <mergeCell ref="A2:Z2"/>
    <mergeCell ref="A5:Z5"/>
    <mergeCell ref="A4:Z4"/>
    <mergeCell ref="L8:N8"/>
    <mergeCell ref="P8:T8"/>
    <mergeCell ref="D7:Z7"/>
    <mergeCell ref="A3:Z3"/>
  </mergeCells>
  <phoneticPr fontId="0" type="noConversion"/>
  <pageMargins left="0.74803149606299202" right="0.5" top="0.23622047244094499" bottom="0.40748031499999998" header="0.43307086614173201" footer="0.511811023622047"/>
  <pageSetup paperSize="9" scale="82" orientation="landscape" r:id="rId1"/>
  <headerFooter alignWithMargins="0">
    <oddFooter>&amp;C4</oddFooter>
  </headerFooter>
  <colBreaks count="1" manualBreakCount="1">
    <brk id="26" max="42" man="1"/>
  </colBreaks>
  <ignoredErrors>
    <ignoredError sqref="V33:V34 V15:V16 V28:V3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B46"/>
  <sheetViews>
    <sheetView view="pageBreakPreview" zoomScaleNormal="100" zoomScaleSheetLayoutView="100" workbookViewId="0">
      <selection activeCell="A7" sqref="A7"/>
    </sheetView>
  </sheetViews>
  <sheetFormatPr defaultColWidth="9.140625" defaultRowHeight="21" x14ac:dyDescent="0.45"/>
  <cols>
    <col min="1" max="1" width="41.28515625" style="86" customWidth="1"/>
    <col min="2" max="2" width="4.85546875" style="86" customWidth="1"/>
    <col min="3" max="3" width="1.42578125" style="86" customWidth="1"/>
    <col min="4" max="4" width="14.5703125" style="86" customWidth="1"/>
    <col min="5" max="5" width="1.42578125" style="86" customWidth="1"/>
    <col min="6" max="6" width="14.42578125" style="86" hidden="1" customWidth="1"/>
    <col min="7" max="7" width="1.5703125" style="86" hidden="1" customWidth="1"/>
    <col min="8" max="8" width="14.42578125" style="86" customWidth="1"/>
    <col min="9" max="9" width="1.28515625" style="86" hidden="1" customWidth="1"/>
    <col min="10" max="10" width="14.140625" style="86" hidden="1" customWidth="1"/>
    <col min="11" max="11" width="1.42578125" style="86" hidden="1" customWidth="1"/>
    <col min="12" max="12" width="12.140625" style="86" hidden="1" customWidth="1"/>
    <col min="13" max="13" width="1.42578125" style="86" hidden="1" customWidth="1"/>
    <col min="14" max="14" width="11.85546875" style="86" hidden="1" customWidth="1"/>
    <col min="15" max="15" width="1.42578125" style="86" hidden="1" customWidth="1"/>
    <col min="16" max="16" width="11.85546875" style="86" hidden="1" customWidth="1"/>
    <col min="17" max="17" width="1.42578125" style="86" customWidth="1"/>
    <col min="18" max="18" width="13.7109375" style="86" customWidth="1"/>
    <col min="19" max="19" width="1.42578125" style="86" customWidth="1"/>
    <col min="20" max="20" width="15" style="86" bestFit="1" customWidth="1"/>
    <col min="21" max="21" width="1.140625" style="86" customWidth="1"/>
    <col min="22" max="22" width="21.85546875" style="86" bestFit="1" customWidth="1"/>
    <col min="23" max="23" width="1.42578125" style="86" customWidth="1"/>
    <col min="24" max="24" width="15.28515625" style="86" customWidth="1"/>
    <col min="25" max="25" width="12.85546875" style="86" hidden="1" customWidth="1"/>
    <col min="26" max="26" width="10.5703125" style="86" bestFit="1" customWidth="1"/>
    <col min="27" max="16384" width="9.140625" style="86"/>
  </cols>
  <sheetData>
    <row r="1" spans="1:26" ht="21.75" customHeight="1" x14ac:dyDescent="0.45">
      <c r="A1" s="133"/>
      <c r="V1" s="233" t="s">
        <v>338</v>
      </c>
      <c r="W1" s="233"/>
      <c r="X1" s="233"/>
    </row>
    <row r="2" spans="1:26" ht="6.75" customHeight="1" x14ac:dyDescent="0.45">
      <c r="X2" s="132"/>
    </row>
    <row r="3" spans="1:26" x14ac:dyDescent="0.45">
      <c r="A3" s="235" t="str">
        <f>'Changed-Conso'!A2</f>
        <v>THE BROOKER GROUP PUBLIC COMPANY LIMITED AND ITS SUBSIDIARIES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137"/>
    </row>
    <row r="4" spans="1:26" x14ac:dyDescent="0.45">
      <c r="A4" s="236" t="str">
        <f>'Changed-Conso'!A3</f>
        <v>STATEMENTS OF CHANGES IN SHAREHOLDERS' EQUITY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</row>
    <row r="5" spans="1:26" x14ac:dyDescent="0.45">
      <c r="A5" s="236" t="s">
        <v>208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</row>
    <row r="6" spans="1:26" x14ac:dyDescent="0.45">
      <c r="A6" s="236" t="s">
        <v>375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</row>
    <row r="7" spans="1:26" x14ac:dyDescent="0.45">
      <c r="D7" s="234" t="s">
        <v>215</v>
      </c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</row>
    <row r="8" spans="1:26" x14ac:dyDescent="0.45">
      <c r="B8" s="84"/>
      <c r="C8" s="84"/>
      <c r="D8" s="134"/>
      <c r="E8" s="134"/>
      <c r="F8" s="175"/>
      <c r="G8" s="175"/>
      <c r="H8" s="175"/>
      <c r="I8" s="134"/>
      <c r="J8" s="84" t="s">
        <v>285</v>
      </c>
      <c r="K8" s="134"/>
      <c r="L8" s="138" t="s">
        <v>194</v>
      </c>
      <c r="M8" s="139"/>
      <c r="N8" s="139"/>
      <c r="O8" s="139"/>
      <c r="P8" s="139"/>
      <c r="Q8" s="139"/>
      <c r="R8" s="232" t="s">
        <v>218</v>
      </c>
      <c r="S8" s="232"/>
      <c r="T8" s="232"/>
      <c r="U8" s="83"/>
      <c r="V8" s="83" t="s">
        <v>274</v>
      </c>
      <c r="W8" s="83"/>
    </row>
    <row r="9" spans="1:26" x14ac:dyDescent="0.45">
      <c r="D9" s="84" t="s">
        <v>203</v>
      </c>
      <c r="E9" s="139"/>
      <c r="F9" s="175"/>
      <c r="G9" s="175"/>
      <c r="H9" s="84" t="s">
        <v>283</v>
      </c>
      <c r="I9" s="139"/>
      <c r="J9" s="84" t="s">
        <v>286</v>
      </c>
      <c r="K9" s="139"/>
      <c r="L9" s="138" t="s">
        <v>193</v>
      </c>
      <c r="M9" s="138"/>
      <c r="N9" s="138" t="s">
        <v>196</v>
      </c>
      <c r="O9" s="138"/>
      <c r="P9" s="138" t="s">
        <v>170</v>
      </c>
      <c r="Q9" s="139"/>
      <c r="V9" s="182" t="s">
        <v>230</v>
      </c>
      <c r="W9" s="83"/>
    </row>
    <row r="10" spans="1:26" x14ac:dyDescent="0.45">
      <c r="D10" s="84" t="s">
        <v>167</v>
      </c>
      <c r="E10" s="140"/>
      <c r="F10" s="175"/>
      <c r="G10" s="175"/>
      <c r="H10" s="84" t="s">
        <v>284</v>
      </c>
      <c r="I10" s="140"/>
      <c r="J10" s="175" t="s">
        <v>287</v>
      </c>
      <c r="K10" s="138"/>
      <c r="L10" s="138" t="s">
        <v>177</v>
      </c>
      <c r="M10" s="138"/>
      <c r="N10" s="95" t="s">
        <v>197</v>
      </c>
      <c r="O10" s="138"/>
      <c r="P10" s="138" t="s">
        <v>171</v>
      </c>
      <c r="Q10" s="139"/>
      <c r="R10" s="84" t="s">
        <v>174</v>
      </c>
      <c r="S10" s="141"/>
      <c r="T10" s="81"/>
      <c r="U10" s="81"/>
      <c r="V10" s="143" t="s">
        <v>275</v>
      </c>
      <c r="W10" s="81"/>
    </row>
    <row r="11" spans="1:26" x14ac:dyDescent="0.45">
      <c r="B11" s="149" t="s">
        <v>219</v>
      </c>
      <c r="D11" s="94" t="s">
        <v>168</v>
      </c>
      <c r="E11" s="142"/>
      <c r="F11" s="174" t="s">
        <v>245</v>
      </c>
      <c r="G11" s="95"/>
      <c r="H11" s="94" t="s">
        <v>169</v>
      </c>
      <c r="I11" s="142"/>
      <c r="J11" s="94" t="s">
        <v>288</v>
      </c>
      <c r="K11" s="143"/>
      <c r="L11" s="182" t="s">
        <v>178</v>
      </c>
      <c r="M11" s="143"/>
      <c r="N11" s="182" t="s">
        <v>198</v>
      </c>
      <c r="O11" s="143"/>
      <c r="P11" s="182" t="s">
        <v>172</v>
      </c>
      <c r="Q11" s="139"/>
      <c r="R11" s="94" t="s">
        <v>175</v>
      </c>
      <c r="S11" s="141"/>
      <c r="T11" s="94" t="s">
        <v>155</v>
      </c>
      <c r="U11" s="84"/>
      <c r="V11" s="182" t="s">
        <v>276</v>
      </c>
      <c r="W11" s="83"/>
      <c r="X11" s="94" t="s">
        <v>176</v>
      </c>
    </row>
    <row r="12" spans="1:26" x14ac:dyDescent="0.45">
      <c r="C12" s="143"/>
      <c r="F12" s="152"/>
      <c r="G12" s="176"/>
      <c r="R12" s="83"/>
      <c r="S12" s="143"/>
      <c r="T12" s="144"/>
      <c r="U12" s="144"/>
      <c r="V12" s="144"/>
      <c r="W12" s="142"/>
      <c r="X12" s="144"/>
    </row>
    <row r="13" spans="1:26" x14ac:dyDescent="0.45">
      <c r="A13" s="82" t="s">
        <v>330</v>
      </c>
      <c r="B13" s="178"/>
      <c r="D13" s="134">
        <v>1164401069.76</v>
      </c>
      <c r="E13" s="134"/>
      <c r="F13" s="134">
        <v>0</v>
      </c>
      <c r="G13" s="134"/>
      <c r="H13" s="134">
        <v>688264273.17000008</v>
      </c>
      <c r="I13" s="134"/>
      <c r="J13" s="134">
        <v>0</v>
      </c>
      <c r="K13" s="134"/>
      <c r="L13" s="139">
        <v>0</v>
      </c>
      <c r="M13" s="134"/>
      <c r="N13" s="134">
        <v>0</v>
      </c>
      <c r="O13" s="134"/>
      <c r="P13" s="134">
        <v>0</v>
      </c>
      <c r="Q13" s="134"/>
      <c r="R13" s="134">
        <v>101508576.81000002</v>
      </c>
      <c r="S13" s="134"/>
      <c r="T13" s="134">
        <v>972483609.41999972</v>
      </c>
      <c r="U13" s="134"/>
      <c r="V13" s="134">
        <v>0</v>
      </c>
      <c r="W13" s="134"/>
      <c r="X13" s="134">
        <f>SUM(D13:V13)</f>
        <v>2926657529.1599998</v>
      </c>
      <c r="Y13" s="164"/>
      <c r="Z13" s="139"/>
    </row>
    <row r="14" spans="1:26" ht="9" customHeight="1" x14ac:dyDescent="0.45"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134"/>
      <c r="T14" s="134"/>
      <c r="U14" s="134"/>
      <c r="V14" s="21"/>
      <c r="W14" s="134"/>
      <c r="X14" s="134"/>
      <c r="Z14" s="139"/>
    </row>
    <row r="15" spans="1:26" x14ac:dyDescent="0.45">
      <c r="A15" s="86" t="s">
        <v>278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134"/>
      <c r="T15" s="134"/>
      <c r="U15" s="134"/>
      <c r="V15" s="21"/>
      <c r="W15" s="134"/>
      <c r="X15" s="134"/>
      <c r="Z15" s="139"/>
    </row>
    <row r="16" spans="1:26" hidden="1" x14ac:dyDescent="0.45">
      <c r="A16" s="86" t="s">
        <v>308</v>
      </c>
      <c r="B16" s="177"/>
      <c r="D16" s="139">
        <v>0</v>
      </c>
      <c r="E16" s="139"/>
      <c r="F16" s="139">
        <v>0</v>
      </c>
      <c r="G16" s="139"/>
      <c r="H16" s="139">
        <v>0</v>
      </c>
      <c r="I16" s="139"/>
      <c r="J16" s="139">
        <v>0</v>
      </c>
      <c r="K16" s="139"/>
      <c r="L16" s="139">
        <v>0</v>
      </c>
      <c r="M16" s="139"/>
      <c r="N16" s="134">
        <v>0</v>
      </c>
      <c r="O16" s="139"/>
      <c r="P16" s="139">
        <v>0</v>
      </c>
      <c r="Q16" s="139"/>
      <c r="R16" s="139">
        <v>0</v>
      </c>
      <c r="S16" s="139"/>
      <c r="T16" s="139">
        <v>0</v>
      </c>
      <c r="U16" s="139"/>
      <c r="V16" s="139">
        <v>0</v>
      </c>
      <c r="W16" s="139"/>
      <c r="X16" s="134">
        <f t="shared" ref="X16:X18" si="0">SUM(D16:V16)</f>
        <v>0</v>
      </c>
      <c r="Z16" s="139"/>
    </row>
    <row r="17" spans="1:26" hidden="1" x14ac:dyDescent="0.45">
      <c r="A17" s="86" t="s">
        <v>320</v>
      </c>
      <c r="B17" s="177"/>
      <c r="D17" s="139">
        <v>0</v>
      </c>
      <c r="E17" s="139"/>
      <c r="F17" s="139">
        <v>0</v>
      </c>
      <c r="G17" s="139"/>
      <c r="H17" s="139">
        <v>0</v>
      </c>
      <c r="I17" s="139"/>
      <c r="J17" s="139">
        <v>0</v>
      </c>
      <c r="K17" s="139"/>
      <c r="L17" s="139">
        <v>0</v>
      </c>
      <c r="M17" s="139"/>
      <c r="N17" s="134">
        <v>0</v>
      </c>
      <c r="O17" s="139"/>
      <c r="P17" s="139">
        <v>0</v>
      </c>
      <c r="Q17" s="139"/>
      <c r="R17" s="139">
        <v>0</v>
      </c>
      <c r="S17" s="139"/>
      <c r="T17" s="139">
        <v>0</v>
      </c>
      <c r="U17" s="139"/>
      <c r="V17" s="139">
        <v>0</v>
      </c>
      <c r="W17" s="139"/>
      <c r="X17" s="134">
        <f t="shared" si="0"/>
        <v>0</v>
      </c>
      <c r="Z17" s="139"/>
    </row>
    <row r="18" spans="1:26" hidden="1" x14ac:dyDescent="0.45">
      <c r="A18" s="86" t="s">
        <v>309</v>
      </c>
      <c r="B18" s="177"/>
      <c r="D18" s="139">
        <v>0</v>
      </c>
      <c r="E18" s="139"/>
      <c r="F18" s="139">
        <v>0</v>
      </c>
      <c r="G18" s="139"/>
      <c r="H18" s="139">
        <v>0</v>
      </c>
      <c r="I18" s="139"/>
      <c r="J18" s="139">
        <v>0</v>
      </c>
      <c r="K18" s="139"/>
      <c r="L18" s="139">
        <v>0</v>
      </c>
      <c r="M18" s="139"/>
      <c r="N18" s="134">
        <v>0</v>
      </c>
      <c r="O18" s="139"/>
      <c r="P18" s="139">
        <v>0</v>
      </c>
      <c r="Q18" s="139"/>
      <c r="R18" s="139">
        <v>0</v>
      </c>
      <c r="S18" s="139"/>
      <c r="T18" s="139">
        <v>0</v>
      </c>
      <c r="U18" s="139"/>
      <c r="V18" s="139">
        <v>0</v>
      </c>
      <c r="W18" s="139"/>
      <c r="X18" s="134">
        <f t="shared" si="0"/>
        <v>0</v>
      </c>
      <c r="Z18" s="139"/>
    </row>
    <row r="19" spans="1:26" x14ac:dyDescent="0.45">
      <c r="A19" s="153" t="s">
        <v>303</v>
      </c>
      <c r="B19" s="177">
        <v>25</v>
      </c>
      <c r="C19" s="139"/>
      <c r="D19" s="139">
        <v>0</v>
      </c>
      <c r="E19" s="139"/>
      <c r="F19" s="139">
        <v>0</v>
      </c>
      <c r="G19" s="139"/>
      <c r="H19" s="139">
        <v>0</v>
      </c>
      <c r="I19" s="139"/>
      <c r="J19" s="139">
        <v>0</v>
      </c>
      <c r="K19" s="139"/>
      <c r="L19" s="139">
        <v>0</v>
      </c>
      <c r="M19" s="139"/>
      <c r="N19" s="134">
        <v>0</v>
      </c>
      <c r="O19" s="139"/>
      <c r="P19" s="139">
        <v>0</v>
      </c>
      <c r="Q19" s="139"/>
      <c r="R19" s="139">
        <v>0</v>
      </c>
      <c r="S19" s="139"/>
      <c r="T19" s="139">
        <v>-69862240.180000007</v>
      </c>
      <c r="U19" s="139"/>
      <c r="V19" s="139">
        <v>0</v>
      </c>
      <c r="W19" s="139"/>
      <c r="X19" s="134">
        <f>SUM(D19:V19)</f>
        <v>-69862240.180000007</v>
      </c>
    </row>
    <row r="20" spans="1:26" hidden="1" x14ac:dyDescent="0.45">
      <c r="A20" s="86" t="s">
        <v>270</v>
      </c>
      <c r="B20" s="177"/>
      <c r="C20" s="139"/>
      <c r="D20" s="139">
        <v>0</v>
      </c>
      <c r="E20" s="139"/>
      <c r="F20" s="139">
        <v>0</v>
      </c>
      <c r="G20" s="139"/>
      <c r="H20" s="139">
        <v>0</v>
      </c>
      <c r="I20" s="139"/>
      <c r="J20" s="139">
        <v>0</v>
      </c>
      <c r="K20" s="139"/>
      <c r="L20" s="139">
        <v>0</v>
      </c>
      <c r="M20" s="139"/>
      <c r="N20" s="134">
        <v>0</v>
      </c>
      <c r="O20" s="139"/>
      <c r="P20" s="139">
        <v>0</v>
      </c>
      <c r="Q20" s="139"/>
      <c r="R20" s="139">
        <v>0</v>
      </c>
      <c r="S20" s="139"/>
      <c r="T20" s="139">
        <f>-R20</f>
        <v>0</v>
      </c>
      <c r="U20" s="139"/>
      <c r="V20" s="139">
        <v>0</v>
      </c>
      <c r="W20" s="139"/>
      <c r="X20" s="134">
        <f>SUM(D20:V20)</f>
        <v>0</v>
      </c>
      <c r="Y20" s="139"/>
      <c r="Z20" s="134"/>
    </row>
    <row r="21" spans="1:26" x14ac:dyDescent="0.45">
      <c r="A21" s="154" t="s">
        <v>332</v>
      </c>
      <c r="B21" s="139"/>
      <c r="C21" s="139"/>
      <c r="D21" s="134">
        <v>0</v>
      </c>
      <c r="E21" s="134"/>
      <c r="F21" s="134">
        <v>0</v>
      </c>
      <c r="G21" s="134"/>
      <c r="H21" s="134">
        <v>0</v>
      </c>
      <c r="I21" s="134"/>
      <c r="J21" s="134">
        <v>0</v>
      </c>
      <c r="K21" s="134"/>
      <c r="L21" s="134">
        <v>0</v>
      </c>
      <c r="M21" s="134"/>
      <c r="N21" s="134">
        <v>0</v>
      </c>
      <c r="O21" s="134"/>
      <c r="P21" s="134">
        <v>0</v>
      </c>
      <c r="Q21" s="134"/>
      <c r="R21" s="134">
        <v>0</v>
      </c>
      <c r="S21" s="134"/>
      <c r="T21" s="134">
        <f>+'PL_Q2-67'!L41</f>
        <v>30868730.050000031</v>
      </c>
      <c r="U21" s="134"/>
      <c r="V21" s="134">
        <f>-V23</f>
        <v>0</v>
      </c>
      <c r="W21" s="134"/>
      <c r="X21" s="134">
        <f>SUM(D21:V21)</f>
        <v>30868730.050000031</v>
      </c>
      <c r="Y21" s="164">
        <f>T21-'PL_Q2-67'!L43</f>
        <v>0</v>
      </c>
    </row>
    <row r="22" spans="1:26" hidden="1" x14ac:dyDescent="0.45">
      <c r="A22" s="86" t="s">
        <v>297</v>
      </c>
      <c r="B22" s="139"/>
      <c r="C22" s="139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64"/>
    </row>
    <row r="23" spans="1:26" hidden="1" x14ac:dyDescent="0.45">
      <c r="A23" s="86" t="s">
        <v>298</v>
      </c>
      <c r="B23" s="139"/>
      <c r="C23" s="139"/>
      <c r="D23" s="134">
        <v>0</v>
      </c>
      <c r="E23" s="134"/>
      <c r="F23" s="134">
        <v>0</v>
      </c>
      <c r="G23" s="134"/>
      <c r="H23" s="134">
        <v>0</v>
      </c>
      <c r="I23" s="134"/>
      <c r="J23" s="134">
        <v>0</v>
      </c>
      <c r="K23" s="134"/>
      <c r="L23" s="134">
        <v>0</v>
      </c>
      <c r="M23" s="134"/>
      <c r="N23" s="134">
        <v>0</v>
      </c>
      <c r="O23" s="134"/>
      <c r="P23" s="134">
        <v>0</v>
      </c>
      <c r="Q23" s="134"/>
      <c r="R23" s="134">
        <v>0</v>
      </c>
      <c r="S23" s="134"/>
      <c r="T23" s="134">
        <v>0</v>
      </c>
      <c r="U23" s="134"/>
      <c r="V23" s="134">
        <f>-T23</f>
        <v>0</v>
      </c>
      <c r="W23" s="134"/>
      <c r="X23" s="134">
        <f>SUM(D23:V23)</f>
        <v>0</v>
      </c>
      <c r="Y23" s="164"/>
    </row>
    <row r="24" spans="1:26" ht="8.25" customHeight="1" x14ac:dyDescent="0.45">
      <c r="B24" s="178"/>
      <c r="D24" s="162"/>
      <c r="E24" s="139"/>
      <c r="F24" s="162"/>
      <c r="G24" s="134"/>
      <c r="H24" s="162"/>
      <c r="I24" s="139"/>
      <c r="J24" s="162"/>
      <c r="K24" s="134"/>
      <c r="L24" s="162"/>
      <c r="M24" s="134"/>
      <c r="N24" s="162"/>
      <c r="O24" s="134"/>
      <c r="P24" s="162"/>
      <c r="Q24" s="139"/>
      <c r="R24" s="162"/>
      <c r="S24" s="139"/>
      <c r="T24" s="162"/>
      <c r="U24" s="134"/>
      <c r="V24" s="162"/>
      <c r="W24" s="134"/>
      <c r="X24" s="162"/>
    </row>
    <row r="25" spans="1:26" ht="21.75" thickBot="1" x14ac:dyDescent="0.5">
      <c r="A25" s="82" t="s">
        <v>381</v>
      </c>
      <c r="B25" s="178"/>
      <c r="D25" s="163">
        <f>SUM(D13:D24)</f>
        <v>1164401069.76</v>
      </c>
      <c r="E25" s="139"/>
      <c r="F25" s="163">
        <f>SUM(F13:F24)</f>
        <v>0</v>
      </c>
      <c r="G25" s="134"/>
      <c r="H25" s="163">
        <f>SUM(H13:H24)</f>
        <v>688264273.17000008</v>
      </c>
      <c r="I25" s="139"/>
      <c r="J25" s="163">
        <f>SUM(J13:J24)</f>
        <v>0</v>
      </c>
      <c r="K25" s="134"/>
      <c r="L25" s="163">
        <f>SUM(L19:L21)</f>
        <v>0</v>
      </c>
      <c r="M25" s="134"/>
      <c r="N25" s="163">
        <f>SUM(N19:N21)</f>
        <v>0</v>
      </c>
      <c r="O25" s="134"/>
      <c r="P25" s="163">
        <f>SUM(P19:P21)</f>
        <v>0</v>
      </c>
      <c r="Q25" s="139"/>
      <c r="R25" s="163">
        <f>SUM(R13:R24)</f>
        <v>101508576.81000002</v>
      </c>
      <c r="S25" s="139"/>
      <c r="T25" s="163">
        <f>SUM(T13:T24)</f>
        <v>933490099.28999984</v>
      </c>
      <c r="U25" s="134"/>
      <c r="V25" s="163">
        <f>SUM(V13:V24)</f>
        <v>0</v>
      </c>
      <c r="W25" s="134"/>
      <c r="X25" s="163">
        <f>SUM(X13:X24)</f>
        <v>2887664019.0300002</v>
      </c>
      <c r="Y25" s="164">
        <f>X25-'BS_Q2-67'!L121</f>
        <v>-17576679.089999676</v>
      </c>
    </row>
    <row r="26" spans="1:26" ht="21.75" thickTop="1" x14ac:dyDescent="0.45">
      <c r="B26" s="178"/>
      <c r="D26" s="164"/>
      <c r="E26" s="164"/>
      <c r="F26" s="139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39"/>
      <c r="W26" s="164"/>
      <c r="X26" s="164"/>
    </row>
    <row r="27" spans="1:26" x14ac:dyDescent="0.45">
      <c r="A27" s="82" t="s">
        <v>352</v>
      </c>
      <c r="B27" s="178"/>
      <c r="D27" s="134">
        <v>1164401069.76</v>
      </c>
      <c r="E27" s="134"/>
      <c r="F27" s="134">
        <v>0</v>
      </c>
      <c r="G27" s="134"/>
      <c r="H27" s="134">
        <v>688264273.17000008</v>
      </c>
      <c r="I27" s="134"/>
      <c r="J27" s="134">
        <v>0</v>
      </c>
      <c r="K27" s="134"/>
      <c r="L27" s="139">
        <v>0</v>
      </c>
      <c r="M27" s="134"/>
      <c r="N27" s="134">
        <v>0</v>
      </c>
      <c r="O27" s="134"/>
      <c r="P27" s="134">
        <v>0</v>
      </c>
      <c r="Q27" s="134"/>
      <c r="R27" s="134">
        <v>107803033.52</v>
      </c>
      <c r="S27" s="134"/>
      <c r="T27" s="134">
        <v>944772321.66999996</v>
      </c>
      <c r="U27" s="134"/>
      <c r="V27" s="134">
        <v>0</v>
      </c>
      <c r="W27" s="134"/>
      <c r="X27" s="134">
        <f>SUM(D27:V27)</f>
        <v>2905240698.1199999</v>
      </c>
      <c r="Z27" s="139"/>
    </row>
    <row r="28" spans="1:26" ht="9.75" customHeight="1" x14ac:dyDescent="0.45">
      <c r="B28" s="178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134"/>
      <c r="T28" s="134"/>
      <c r="U28" s="134"/>
      <c r="V28" s="21"/>
      <c r="W28" s="134"/>
      <c r="X28" s="134"/>
    </row>
    <row r="29" spans="1:26" x14ac:dyDescent="0.45">
      <c r="A29" s="86" t="s">
        <v>278</v>
      </c>
      <c r="B29" s="178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134"/>
      <c r="T29" s="134"/>
      <c r="U29" s="134"/>
      <c r="V29" s="21"/>
      <c r="W29" s="134"/>
      <c r="X29" s="134"/>
    </row>
    <row r="30" spans="1:26" hidden="1" x14ac:dyDescent="0.45">
      <c r="A30" s="86" t="s">
        <v>308</v>
      </c>
      <c r="B30" s="177"/>
      <c r="D30" s="139">
        <v>0</v>
      </c>
      <c r="E30" s="139"/>
      <c r="F30" s="139">
        <v>0</v>
      </c>
      <c r="G30" s="139"/>
      <c r="H30" s="139">
        <v>0</v>
      </c>
      <c r="I30" s="139"/>
      <c r="J30" s="139">
        <v>0</v>
      </c>
      <c r="K30" s="139"/>
      <c r="L30" s="139">
        <v>0</v>
      </c>
      <c r="M30" s="139"/>
      <c r="N30" s="134">
        <v>0</v>
      </c>
      <c r="O30" s="139"/>
      <c r="P30" s="139">
        <v>0</v>
      </c>
      <c r="Q30" s="139"/>
      <c r="R30" s="139">
        <v>0</v>
      </c>
      <c r="S30" s="139"/>
      <c r="T30" s="139">
        <v>0</v>
      </c>
      <c r="U30" s="139"/>
      <c r="V30" s="139">
        <v>0</v>
      </c>
      <c r="W30" s="139"/>
      <c r="X30" s="134">
        <f t="shared" ref="X30:X32" si="1">SUM(D30:V30)</f>
        <v>0</v>
      </c>
    </row>
    <row r="31" spans="1:26" hidden="1" x14ac:dyDescent="0.45">
      <c r="A31" s="86" t="s">
        <v>325</v>
      </c>
      <c r="B31" s="177"/>
      <c r="D31" s="139">
        <v>0</v>
      </c>
      <c r="E31" s="139"/>
      <c r="F31" s="139">
        <v>0</v>
      </c>
      <c r="G31" s="139"/>
      <c r="H31" s="139">
        <v>0</v>
      </c>
      <c r="I31" s="139"/>
      <c r="J31" s="139">
        <v>0</v>
      </c>
      <c r="K31" s="139"/>
      <c r="L31" s="139">
        <v>0</v>
      </c>
      <c r="M31" s="139"/>
      <c r="N31" s="134">
        <v>0</v>
      </c>
      <c r="O31" s="139"/>
      <c r="P31" s="139">
        <v>0</v>
      </c>
      <c r="Q31" s="139"/>
      <c r="R31" s="139">
        <v>0</v>
      </c>
      <c r="S31" s="139"/>
      <c r="T31" s="139">
        <f>-D31</f>
        <v>0</v>
      </c>
      <c r="U31" s="139"/>
      <c r="V31" s="139">
        <v>0</v>
      </c>
      <c r="W31" s="139"/>
      <c r="X31" s="134">
        <f t="shared" ref="X31" si="2">SUM(D31:V31)</f>
        <v>0</v>
      </c>
    </row>
    <row r="32" spans="1:26" hidden="1" x14ac:dyDescent="0.45">
      <c r="A32" s="86" t="s">
        <v>309</v>
      </c>
      <c r="B32" s="177"/>
      <c r="D32" s="139">
        <v>0</v>
      </c>
      <c r="E32" s="139"/>
      <c r="F32" s="139">
        <v>0</v>
      </c>
      <c r="G32" s="139"/>
      <c r="H32" s="139">
        <v>0</v>
      </c>
      <c r="I32" s="139"/>
      <c r="J32" s="139">
        <v>0</v>
      </c>
      <c r="K32" s="139"/>
      <c r="L32" s="139">
        <v>0</v>
      </c>
      <c r="M32" s="139"/>
      <c r="N32" s="134">
        <v>0</v>
      </c>
      <c r="O32" s="139"/>
      <c r="P32" s="139">
        <v>0</v>
      </c>
      <c r="Q32" s="139"/>
      <c r="R32" s="139">
        <v>0</v>
      </c>
      <c r="S32" s="139"/>
      <c r="T32" s="139">
        <v>0</v>
      </c>
      <c r="U32" s="139"/>
      <c r="V32" s="139">
        <v>0</v>
      </c>
      <c r="W32" s="139"/>
      <c r="X32" s="134">
        <f t="shared" si="1"/>
        <v>0</v>
      </c>
    </row>
    <row r="33" spans="1:28" s="139" customFormat="1" x14ac:dyDescent="0.45">
      <c r="A33" s="153" t="s">
        <v>303</v>
      </c>
      <c r="B33" s="177">
        <v>25</v>
      </c>
      <c r="D33" s="139">
        <v>0</v>
      </c>
      <c r="F33" s="139">
        <v>0</v>
      </c>
      <c r="H33" s="139">
        <v>0</v>
      </c>
      <c r="J33" s="139">
        <v>0</v>
      </c>
      <c r="L33" s="139">
        <v>0</v>
      </c>
      <c r="N33" s="134">
        <v>0</v>
      </c>
      <c r="P33" s="139">
        <v>0</v>
      </c>
      <c r="R33" s="139">
        <v>0</v>
      </c>
      <c r="T33" s="139">
        <v>-139725340.78</v>
      </c>
      <c r="V33" s="139">
        <v>0</v>
      </c>
      <c r="X33" s="134">
        <f>SUM(D33:V33)</f>
        <v>-139725340.78</v>
      </c>
      <c r="Z33" s="134"/>
    </row>
    <row r="34" spans="1:28" s="139" customFormat="1" hidden="1" x14ac:dyDescent="0.45">
      <c r="A34" s="86" t="s">
        <v>270</v>
      </c>
      <c r="B34" s="177"/>
      <c r="D34" s="139">
        <v>0</v>
      </c>
      <c r="F34" s="139">
        <v>0</v>
      </c>
      <c r="H34" s="139">
        <v>0</v>
      </c>
      <c r="J34" s="139">
        <v>0</v>
      </c>
      <c r="L34" s="139">
        <v>0</v>
      </c>
      <c r="N34" s="134">
        <v>0</v>
      </c>
      <c r="P34" s="139">
        <v>0</v>
      </c>
      <c r="R34" s="139">
        <v>0</v>
      </c>
      <c r="T34" s="139">
        <f>-R34</f>
        <v>0</v>
      </c>
      <c r="V34" s="139">
        <v>0</v>
      </c>
      <c r="X34" s="134">
        <f>SUM(D34:V34)</f>
        <v>0</v>
      </c>
      <c r="Z34" s="134"/>
    </row>
    <row r="35" spans="1:28" s="139" customFormat="1" x14ac:dyDescent="0.45">
      <c r="A35" s="154" t="s">
        <v>332</v>
      </c>
      <c r="D35" s="134">
        <v>0</v>
      </c>
      <c r="E35" s="134"/>
      <c r="F35" s="134">
        <v>0</v>
      </c>
      <c r="G35" s="134"/>
      <c r="H35" s="134">
        <v>0</v>
      </c>
      <c r="I35" s="134"/>
      <c r="J35" s="134">
        <v>0</v>
      </c>
      <c r="K35" s="134"/>
      <c r="L35" s="134">
        <v>0</v>
      </c>
      <c r="M35" s="134"/>
      <c r="N35" s="134">
        <v>0</v>
      </c>
      <c r="O35" s="134"/>
      <c r="P35" s="134">
        <v>0</v>
      </c>
      <c r="Q35" s="134"/>
      <c r="R35" s="134">
        <v>0</v>
      </c>
      <c r="S35" s="134"/>
      <c r="T35" s="134">
        <f>+'PL_Q2-67'!J41</f>
        <v>82982563.439999968</v>
      </c>
      <c r="U35" s="134"/>
      <c r="V35" s="134">
        <f>-V37</f>
        <v>0</v>
      </c>
      <c r="W35" s="134"/>
      <c r="X35" s="134">
        <f>SUM(D35:V35)</f>
        <v>82982563.439999968</v>
      </c>
      <c r="Y35" s="139">
        <f>T35-'PL_Q2-67'!J41</f>
        <v>0</v>
      </c>
    </row>
    <row r="36" spans="1:28" s="139" customFormat="1" hidden="1" x14ac:dyDescent="0.45">
      <c r="A36" s="86" t="s">
        <v>297</v>
      </c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</row>
    <row r="37" spans="1:28" s="139" customFormat="1" hidden="1" x14ac:dyDescent="0.45">
      <c r="A37" s="86" t="s">
        <v>298</v>
      </c>
      <c r="D37" s="134">
        <v>0</v>
      </c>
      <c r="E37" s="134"/>
      <c r="F37" s="134">
        <v>0</v>
      </c>
      <c r="G37" s="134"/>
      <c r="H37" s="134">
        <v>0</v>
      </c>
      <c r="I37" s="134"/>
      <c r="J37" s="134">
        <v>0</v>
      </c>
      <c r="K37" s="134"/>
      <c r="L37" s="134">
        <v>0</v>
      </c>
      <c r="M37" s="134"/>
      <c r="N37" s="134">
        <v>0</v>
      </c>
      <c r="O37" s="134"/>
      <c r="P37" s="134">
        <v>0</v>
      </c>
      <c r="Q37" s="134"/>
      <c r="R37" s="134">
        <v>0</v>
      </c>
      <c r="S37" s="134"/>
      <c r="T37" s="134">
        <v>0</v>
      </c>
      <c r="U37" s="134"/>
      <c r="V37" s="134">
        <f>-T37</f>
        <v>0</v>
      </c>
      <c r="W37" s="134"/>
      <c r="X37" s="134">
        <f>SUM(D37:V37)</f>
        <v>0</v>
      </c>
    </row>
    <row r="38" spans="1:28" ht="7.5" customHeight="1" x14ac:dyDescent="0.45">
      <c r="D38" s="162"/>
      <c r="E38" s="139"/>
      <c r="F38" s="162"/>
      <c r="G38" s="134"/>
      <c r="H38" s="162"/>
      <c r="I38" s="139"/>
      <c r="J38" s="162"/>
      <c r="K38" s="134"/>
      <c r="L38" s="162"/>
      <c r="M38" s="134"/>
      <c r="N38" s="162"/>
      <c r="O38" s="134"/>
      <c r="P38" s="162"/>
      <c r="Q38" s="139"/>
      <c r="R38" s="162"/>
      <c r="S38" s="139"/>
      <c r="T38" s="162"/>
      <c r="U38" s="134"/>
      <c r="V38" s="162"/>
      <c r="W38" s="134"/>
      <c r="X38" s="162"/>
    </row>
    <row r="39" spans="1:28" ht="21.75" thickBot="1" x14ac:dyDescent="0.5">
      <c r="A39" s="82" t="s">
        <v>380</v>
      </c>
      <c r="D39" s="163">
        <f>SUM(D27:D38)</f>
        <v>1164401069.76</v>
      </c>
      <c r="E39" s="139"/>
      <c r="F39" s="163">
        <f>SUM(F27:F38)</f>
        <v>0</v>
      </c>
      <c r="G39" s="134"/>
      <c r="H39" s="163">
        <f>SUM(H27:H38)</f>
        <v>688264273.17000008</v>
      </c>
      <c r="I39" s="139"/>
      <c r="J39" s="163">
        <f>SUM(J27:J38)</f>
        <v>0</v>
      </c>
      <c r="K39" s="134"/>
      <c r="L39" s="163">
        <f>SUM(L33:L35)</f>
        <v>0</v>
      </c>
      <c r="M39" s="134"/>
      <c r="N39" s="163">
        <f>SUM(N33:N35)</f>
        <v>0</v>
      </c>
      <c r="O39" s="134"/>
      <c r="P39" s="163">
        <f>SUM(P33:P35)</f>
        <v>0</v>
      </c>
      <c r="Q39" s="139"/>
      <c r="R39" s="163">
        <f>SUM(R27:R38)</f>
        <v>107803033.52</v>
      </c>
      <c r="S39" s="139"/>
      <c r="T39" s="163">
        <f>SUM(T27:T38)</f>
        <v>888029544.32999992</v>
      </c>
      <c r="U39" s="134"/>
      <c r="V39" s="163">
        <f>SUM(V27:V38)</f>
        <v>0</v>
      </c>
      <c r="W39" s="134"/>
      <c r="X39" s="163">
        <f>SUM(X27:X38)</f>
        <v>2848497920.7799997</v>
      </c>
      <c r="Y39" s="82">
        <f>X39-'BS_Q2-67'!J121</f>
        <v>0</v>
      </c>
    </row>
    <row r="40" spans="1:28" ht="9.75" customHeight="1" thickTop="1" x14ac:dyDescent="0.45"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</row>
    <row r="41" spans="1:28" x14ac:dyDescent="0.45"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</row>
    <row r="42" spans="1:28" x14ac:dyDescent="0.45">
      <c r="A42" s="85" t="str">
        <f>+'BS_Q2-67'!A124</f>
        <v>The accompanying interim notes to financial statements are an integral part of these interim financial statements.</v>
      </c>
    </row>
    <row r="43" spans="1:28" x14ac:dyDescent="0.45">
      <c r="A43" s="135"/>
    </row>
    <row r="44" spans="1:28" s="133" customFormat="1" x14ac:dyDescent="0.45">
      <c r="A44" s="98"/>
      <c r="C44" s="95"/>
      <c r="D44" s="98"/>
      <c r="E44" s="95"/>
      <c r="F44" s="95"/>
      <c r="G44" s="95"/>
      <c r="H44" s="95"/>
      <c r="I44" s="95"/>
      <c r="J44" s="98"/>
      <c r="K44" s="98"/>
      <c r="L44" s="98"/>
      <c r="M44" s="98"/>
      <c r="N44" s="98"/>
      <c r="O44" s="98"/>
      <c r="P44" s="98"/>
      <c r="Q44" s="95"/>
      <c r="R44" s="95"/>
      <c r="S44" s="95"/>
      <c r="T44" s="95"/>
      <c r="U44" s="95"/>
      <c r="V44" s="95"/>
      <c r="W44" s="95"/>
      <c r="X44" s="95"/>
      <c r="Y44" s="95"/>
      <c r="AB44" s="145"/>
    </row>
    <row r="45" spans="1:28" s="133" customFormat="1" x14ac:dyDescent="0.45">
      <c r="A45" s="98" t="s">
        <v>145</v>
      </c>
      <c r="C45" s="95"/>
      <c r="D45" s="98"/>
      <c r="E45" s="95"/>
      <c r="F45" s="95"/>
      <c r="G45" s="95"/>
      <c r="H45" s="95"/>
      <c r="I45" s="95"/>
      <c r="K45" s="98"/>
      <c r="L45" s="98"/>
      <c r="M45" s="98"/>
      <c r="N45" s="98"/>
      <c r="O45" s="98"/>
      <c r="P45" s="98"/>
      <c r="Q45" s="95"/>
      <c r="S45" s="95"/>
      <c r="T45" s="98" t="s">
        <v>145</v>
      </c>
      <c r="U45" s="95"/>
      <c r="V45" s="95"/>
      <c r="W45" s="95"/>
      <c r="X45" s="95"/>
      <c r="Y45" s="95"/>
      <c r="AB45" s="145"/>
    </row>
    <row r="46" spans="1:28" x14ac:dyDescent="0.45">
      <c r="A46" s="136"/>
    </row>
  </sheetData>
  <mergeCells count="7">
    <mergeCell ref="R8:T8"/>
    <mergeCell ref="V1:X1"/>
    <mergeCell ref="D7:X7"/>
    <mergeCell ref="A3:X3"/>
    <mergeCell ref="A4:X4"/>
    <mergeCell ref="A5:X5"/>
    <mergeCell ref="A6:X6"/>
  </mergeCells>
  <phoneticPr fontId="0" type="noConversion"/>
  <printOptions horizontalCentered="1"/>
  <pageMargins left="0.6" right="0.5" top="0.35" bottom="0.4" header="0.30496063000000001" footer="0.16"/>
  <pageSetup paperSize="9" scale="92" orientation="landscape" r:id="rId1"/>
  <headerFooter alignWithMargins="0">
    <oddFooter>&amp;C5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23"/>
  <sheetViews>
    <sheetView view="pageBreakPreview" zoomScaleNormal="100" zoomScaleSheetLayoutView="100" workbookViewId="0">
      <selection activeCell="C7" sqref="C7"/>
    </sheetView>
  </sheetViews>
  <sheetFormatPr defaultColWidth="9.140625" defaultRowHeight="18" x14ac:dyDescent="0.4"/>
  <cols>
    <col min="1" max="2" width="2.7109375" style="3" customWidth="1"/>
    <col min="3" max="3" width="39.28515625" style="3" bestFit="1" customWidth="1"/>
    <col min="4" max="4" width="5.42578125" style="6" customWidth="1"/>
    <col min="5" max="5" width="0.85546875" style="6" customWidth="1"/>
    <col min="6" max="6" width="14.42578125" style="6" customWidth="1"/>
    <col min="7" max="7" width="0.85546875" style="6" customWidth="1"/>
    <col min="8" max="8" width="14.42578125" style="6" customWidth="1"/>
    <col min="9" max="9" width="0.85546875" style="3" customWidth="1"/>
    <col min="10" max="10" width="14.28515625" style="5" customWidth="1"/>
    <col min="11" max="11" width="0.85546875" style="3" customWidth="1"/>
    <col min="12" max="12" width="14.42578125" style="5" customWidth="1"/>
    <col min="13" max="13" width="2.7109375" style="3" customWidth="1"/>
    <col min="14" max="14" width="15.7109375" style="3" customWidth="1"/>
    <col min="15" max="15" width="2.7109375" style="3" customWidth="1"/>
    <col min="16" max="16" width="13.85546875" style="3" customWidth="1"/>
    <col min="17" max="17" width="2.7109375" style="3" customWidth="1"/>
    <col min="18" max="18" width="14.5703125" style="3" customWidth="1"/>
    <col min="19" max="19" width="5" style="3" customWidth="1"/>
    <col min="20" max="16384" width="9.140625" style="3"/>
  </cols>
  <sheetData>
    <row r="1" spans="1:14" ht="20.100000000000001" customHeight="1" x14ac:dyDescent="0.4">
      <c r="B1" s="9"/>
      <c r="C1" s="9"/>
      <c r="D1" s="30"/>
      <c r="E1" s="30"/>
      <c r="F1" s="17"/>
      <c r="G1" s="30"/>
      <c r="H1" s="17"/>
      <c r="I1" s="9"/>
      <c r="J1" s="238" t="s">
        <v>338</v>
      </c>
      <c r="K1" s="238"/>
      <c r="L1" s="238"/>
    </row>
    <row r="2" spans="1:14" x14ac:dyDescent="0.4">
      <c r="A2" s="226" t="s">
        <v>131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</row>
    <row r="3" spans="1:14" ht="18" customHeight="1" x14ac:dyDescent="0.4">
      <c r="A3" s="222" t="s">
        <v>157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</row>
    <row r="4" spans="1:14" ht="18" customHeight="1" x14ac:dyDescent="0.4">
      <c r="A4" s="222" t="s">
        <v>375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</row>
    <row r="5" spans="1:14" ht="16.5" customHeight="1" x14ac:dyDescent="0.4">
      <c r="A5" s="9"/>
      <c r="B5" s="9"/>
      <c r="C5" s="26"/>
      <c r="F5" s="223" t="s">
        <v>132</v>
      </c>
      <c r="G5" s="223"/>
      <c r="H5" s="223"/>
      <c r="I5" s="223"/>
      <c r="J5" s="223"/>
      <c r="K5" s="223"/>
      <c r="L5" s="223"/>
    </row>
    <row r="6" spans="1:14" x14ac:dyDescent="0.4">
      <c r="A6" s="9"/>
      <c r="B6" s="9"/>
      <c r="C6" s="9" t="s">
        <v>4</v>
      </c>
      <c r="F6" s="237" t="s">
        <v>205</v>
      </c>
      <c r="G6" s="237"/>
      <c r="H6" s="237"/>
      <c r="J6" s="237" t="s">
        <v>206</v>
      </c>
      <c r="K6" s="237"/>
      <c r="L6" s="237"/>
    </row>
    <row r="7" spans="1:14" x14ac:dyDescent="0.4">
      <c r="A7" s="9"/>
      <c r="B7" s="9"/>
      <c r="C7" s="9"/>
      <c r="F7" s="237" t="s">
        <v>374</v>
      </c>
      <c r="G7" s="237"/>
      <c r="H7" s="237"/>
      <c r="I7" s="1"/>
      <c r="J7" s="237" t="str">
        <f>+F7</f>
        <v>For the six-month period ended June 30</v>
      </c>
      <c r="K7" s="237"/>
      <c r="L7" s="237"/>
    </row>
    <row r="8" spans="1:14" x14ac:dyDescent="0.4">
      <c r="A8" s="9"/>
      <c r="B8" s="9"/>
      <c r="C8" s="9"/>
      <c r="D8" s="183" t="s">
        <v>133</v>
      </c>
      <c r="F8" s="183">
        <v>2024</v>
      </c>
      <c r="H8" s="183">
        <v>2023</v>
      </c>
      <c r="J8" s="183">
        <f>+F8</f>
        <v>2024</v>
      </c>
      <c r="K8" s="6"/>
      <c r="L8" s="183">
        <f>+H8</f>
        <v>2023</v>
      </c>
    </row>
    <row r="9" spans="1:14" x14ac:dyDescent="0.4">
      <c r="A9" s="127" t="s">
        <v>158</v>
      </c>
      <c r="B9" s="9"/>
      <c r="C9" s="9"/>
      <c r="D9" s="13"/>
      <c r="E9" s="13"/>
      <c r="F9" s="10"/>
      <c r="G9" s="10"/>
      <c r="H9" s="10"/>
      <c r="I9" s="9"/>
      <c r="J9" s="11"/>
      <c r="K9" s="9"/>
      <c r="L9" s="11"/>
    </row>
    <row r="10" spans="1:14" x14ac:dyDescent="0.4">
      <c r="A10" s="9"/>
      <c r="B10" s="9" t="s">
        <v>225</v>
      </c>
      <c r="C10" s="9"/>
      <c r="D10" s="13"/>
      <c r="E10" s="13"/>
      <c r="F10" s="160">
        <v>57709069.549999997</v>
      </c>
      <c r="G10" s="184"/>
      <c r="H10" s="160">
        <v>36236600.289999999</v>
      </c>
      <c r="I10" s="156"/>
      <c r="J10" s="21">
        <v>56898750.93</v>
      </c>
      <c r="K10" s="156"/>
      <c r="L10" s="21">
        <v>35380274.270000003</v>
      </c>
      <c r="M10" s="7"/>
      <c r="N10" s="7"/>
    </row>
    <row r="11" spans="1:14" x14ac:dyDescent="0.4">
      <c r="A11" s="9"/>
      <c r="B11" s="9" t="s">
        <v>315</v>
      </c>
      <c r="C11" s="9"/>
      <c r="D11" s="13"/>
      <c r="E11" s="13"/>
      <c r="F11" s="160">
        <v>0</v>
      </c>
      <c r="G11" s="184"/>
      <c r="H11" s="160">
        <v>3218558.67</v>
      </c>
      <c r="I11" s="156"/>
      <c r="J11" s="14">
        <v>0</v>
      </c>
      <c r="K11" s="156"/>
      <c r="L11" s="14">
        <v>3218558.67</v>
      </c>
      <c r="M11" s="7"/>
      <c r="N11" s="7"/>
    </row>
    <row r="12" spans="1:14" x14ac:dyDescent="0.4">
      <c r="A12" s="9"/>
      <c r="B12" s="9" t="s">
        <v>347</v>
      </c>
      <c r="C12" s="9"/>
      <c r="D12" s="13">
        <v>6</v>
      </c>
      <c r="E12" s="13"/>
      <c r="F12" s="160">
        <v>94968945.670000002</v>
      </c>
      <c r="G12" s="184"/>
      <c r="H12" s="160">
        <v>7432502.9299999997</v>
      </c>
      <c r="I12" s="156"/>
      <c r="J12" s="14">
        <v>34420.730000000003</v>
      </c>
      <c r="K12" s="156"/>
      <c r="L12" s="14">
        <v>4321.8500000000004</v>
      </c>
      <c r="M12" s="7"/>
      <c r="N12" s="7"/>
    </row>
    <row r="13" spans="1:14" x14ac:dyDescent="0.4">
      <c r="A13" s="9"/>
      <c r="B13" s="9" t="s">
        <v>368</v>
      </c>
      <c r="C13" s="9"/>
      <c r="D13" s="13">
        <v>6</v>
      </c>
      <c r="E13" s="13"/>
      <c r="F13" s="160">
        <v>126429863.29000001</v>
      </c>
      <c r="G13" s="184"/>
      <c r="H13" s="160">
        <v>0</v>
      </c>
      <c r="I13" s="156"/>
      <c r="J13" s="14">
        <v>0</v>
      </c>
      <c r="K13" s="156"/>
      <c r="L13" s="14">
        <v>0</v>
      </c>
      <c r="M13" s="7"/>
      <c r="N13" s="7"/>
    </row>
    <row r="14" spans="1:14" x14ac:dyDescent="0.4">
      <c r="A14" s="9"/>
      <c r="B14" s="9" t="s">
        <v>378</v>
      </c>
      <c r="C14" s="9"/>
      <c r="D14" s="13"/>
      <c r="E14" s="13"/>
      <c r="F14" s="160">
        <v>4000000</v>
      </c>
      <c r="G14" s="184"/>
      <c r="H14" s="160">
        <v>5000000</v>
      </c>
      <c r="I14" s="156"/>
      <c r="J14" s="14">
        <v>4000000</v>
      </c>
      <c r="K14" s="156"/>
      <c r="L14" s="14">
        <v>5000000</v>
      </c>
      <c r="M14" s="7"/>
      <c r="N14" s="7"/>
    </row>
    <row r="15" spans="1:14" x14ac:dyDescent="0.4">
      <c r="A15" s="9"/>
      <c r="B15" s="9" t="s">
        <v>160</v>
      </c>
      <c r="C15" s="9"/>
      <c r="D15" s="13"/>
      <c r="E15" s="13"/>
      <c r="F15" s="160">
        <v>25425386.719999999</v>
      </c>
      <c r="G15" s="184"/>
      <c r="H15" s="160">
        <v>18022372.989999998</v>
      </c>
      <c r="I15" s="156"/>
      <c r="J15" s="21">
        <v>55517312.829999998</v>
      </c>
      <c r="K15" s="156"/>
      <c r="L15" s="21">
        <v>47061981.909999996</v>
      </c>
      <c r="M15" s="7"/>
      <c r="N15" s="7"/>
    </row>
    <row r="16" spans="1:14" x14ac:dyDescent="0.4">
      <c r="A16" s="9"/>
      <c r="B16" s="9" t="s">
        <v>159</v>
      </c>
      <c r="C16" s="9"/>
      <c r="D16" s="13"/>
      <c r="E16" s="13"/>
      <c r="F16" s="166"/>
      <c r="G16" s="166"/>
      <c r="H16" s="166"/>
      <c r="I16" s="156"/>
      <c r="J16" s="14"/>
      <c r="K16" s="156"/>
      <c r="L16" s="14"/>
      <c r="M16" s="7"/>
      <c r="N16" s="7"/>
    </row>
    <row r="17" spans="1:14" x14ac:dyDescent="0.4">
      <c r="A17" s="9"/>
      <c r="B17" s="9"/>
      <c r="C17" s="9" t="s">
        <v>348</v>
      </c>
      <c r="D17" s="13"/>
      <c r="E17" s="13"/>
      <c r="F17" s="166">
        <v>0</v>
      </c>
      <c r="G17" s="166"/>
      <c r="H17" s="166">
        <v>3000100</v>
      </c>
      <c r="I17" s="156"/>
      <c r="J17" s="14">
        <v>0</v>
      </c>
      <c r="K17" s="156"/>
      <c r="L17" s="14">
        <v>3000100</v>
      </c>
      <c r="M17" s="7"/>
      <c r="N17" s="7"/>
    </row>
    <row r="18" spans="1:14" x14ac:dyDescent="0.4">
      <c r="A18" s="9"/>
      <c r="B18" s="9"/>
      <c r="C18" s="9" t="s">
        <v>349</v>
      </c>
      <c r="D18" s="13"/>
      <c r="E18" s="13"/>
      <c r="F18" s="14">
        <v>109106483.75</v>
      </c>
      <c r="G18" s="184"/>
      <c r="H18" s="14">
        <v>51937254.43</v>
      </c>
      <c r="I18" s="156"/>
      <c r="J18" s="14">
        <v>109106163.16</v>
      </c>
      <c r="K18" s="156"/>
      <c r="L18" s="14">
        <v>52851574.740000002</v>
      </c>
      <c r="M18" s="7"/>
      <c r="N18" s="7"/>
    </row>
    <row r="19" spans="1:14" x14ac:dyDescent="0.4">
      <c r="A19" s="9"/>
      <c r="B19" s="9"/>
      <c r="C19" s="9" t="s">
        <v>350</v>
      </c>
      <c r="D19" s="13">
        <v>6</v>
      </c>
      <c r="E19" s="13"/>
      <c r="F19" s="14">
        <v>135938131.68000001</v>
      </c>
      <c r="G19" s="184"/>
      <c r="H19" s="14">
        <v>98724559.209999993</v>
      </c>
      <c r="I19" s="156"/>
      <c r="J19" s="14">
        <v>88799.81</v>
      </c>
      <c r="K19" s="156"/>
      <c r="L19" s="14">
        <v>76866.179999999993</v>
      </c>
      <c r="M19" s="7"/>
      <c r="N19" s="7"/>
    </row>
    <row r="20" spans="1:14" x14ac:dyDescent="0.4">
      <c r="A20" s="9"/>
      <c r="B20" s="9"/>
      <c r="C20" s="9" t="s">
        <v>138</v>
      </c>
      <c r="D20" s="15"/>
      <c r="E20" s="15"/>
      <c r="F20" s="160">
        <v>575073.85</v>
      </c>
      <c r="G20" s="184"/>
      <c r="H20" s="160">
        <v>267316.15000000002</v>
      </c>
      <c r="I20" s="156"/>
      <c r="J20" s="14">
        <v>553473.85</v>
      </c>
      <c r="K20" s="156"/>
      <c r="L20" s="14">
        <v>267288.49</v>
      </c>
      <c r="M20" s="7"/>
      <c r="N20" s="7"/>
    </row>
    <row r="21" spans="1:14" x14ac:dyDescent="0.4">
      <c r="A21" s="9"/>
      <c r="B21" s="9"/>
      <c r="C21" s="9" t="s">
        <v>161</v>
      </c>
      <c r="D21" s="13"/>
      <c r="E21" s="13"/>
      <c r="F21" s="159">
        <f>SUM(F10:F20)</f>
        <v>554152954.51000011</v>
      </c>
      <c r="G21" s="184"/>
      <c r="H21" s="159">
        <f>SUM(H10:H20)</f>
        <v>223839264.66999999</v>
      </c>
      <c r="I21" s="156"/>
      <c r="J21" s="159">
        <f>SUM(J10:J20)</f>
        <v>226198921.30999997</v>
      </c>
      <c r="K21" s="156"/>
      <c r="L21" s="159">
        <f>SUM(L10:L20)</f>
        <v>146860966.11000001</v>
      </c>
      <c r="M21" s="7"/>
      <c r="N21" s="7"/>
    </row>
    <row r="22" spans="1:14" ht="5.25" customHeight="1" x14ac:dyDescent="0.4">
      <c r="A22" s="9"/>
      <c r="B22" s="9"/>
      <c r="C22" s="9"/>
      <c r="D22" s="13"/>
      <c r="E22" s="13"/>
      <c r="F22" s="184"/>
      <c r="G22" s="184"/>
      <c r="H22" s="184"/>
      <c r="I22" s="156"/>
      <c r="J22" s="184"/>
      <c r="K22" s="156"/>
      <c r="L22" s="184"/>
      <c r="M22" s="7"/>
      <c r="N22" s="7"/>
    </row>
    <row r="23" spans="1:14" ht="16.5" customHeight="1" x14ac:dyDescent="0.4">
      <c r="A23" s="9" t="s">
        <v>162</v>
      </c>
      <c r="B23" s="9"/>
      <c r="C23" s="9"/>
      <c r="D23" s="13"/>
      <c r="E23" s="13"/>
      <c r="F23" s="184"/>
      <c r="G23" s="184"/>
      <c r="H23" s="184"/>
      <c r="I23" s="156"/>
      <c r="J23" s="14"/>
      <c r="K23" s="156"/>
      <c r="L23" s="14"/>
      <c r="M23" s="7"/>
      <c r="N23" s="7"/>
    </row>
    <row r="24" spans="1:14" x14ac:dyDescent="0.4">
      <c r="A24" s="9"/>
      <c r="B24" s="9" t="s">
        <v>253</v>
      </c>
      <c r="C24" s="9"/>
      <c r="D24" s="13"/>
      <c r="E24" s="13"/>
      <c r="F24" s="184">
        <v>35870186.600000001</v>
      </c>
      <c r="G24" s="184"/>
      <c r="H24" s="184">
        <v>29861767.780000001</v>
      </c>
      <c r="I24" s="156"/>
      <c r="J24" s="14">
        <v>34978835.759999998</v>
      </c>
      <c r="K24" s="156"/>
      <c r="L24" s="14">
        <v>31394618.449999999</v>
      </c>
      <c r="M24" s="7"/>
      <c r="N24" s="7"/>
    </row>
    <row r="25" spans="1:14" x14ac:dyDescent="0.4">
      <c r="A25" s="9"/>
      <c r="B25" s="9" t="s">
        <v>212</v>
      </c>
      <c r="C25" s="9"/>
      <c r="D25" s="8"/>
      <c r="E25" s="8"/>
      <c r="F25" s="184">
        <v>55525101.880000003</v>
      </c>
      <c r="G25" s="184"/>
      <c r="H25" s="184">
        <v>52194994.009999998</v>
      </c>
      <c r="I25" s="156"/>
      <c r="J25" s="14">
        <v>39619819.25</v>
      </c>
      <c r="K25" s="156"/>
      <c r="L25" s="14">
        <v>39710378.100000001</v>
      </c>
      <c r="M25" s="7"/>
      <c r="N25" s="7"/>
    </row>
    <row r="26" spans="1:14" x14ac:dyDescent="0.4">
      <c r="A26" s="9"/>
      <c r="B26" s="9" t="s">
        <v>385</v>
      </c>
      <c r="C26" s="9"/>
      <c r="D26" s="8"/>
      <c r="E26" s="8"/>
      <c r="F26" s="184">
        <v>94560.26</v>
      </c>
      <c r="G26" s="184"/>
      <c r="H26" s="184">
        <v>0</v>
      </c>
      <c r="I26" s="156"/>
      <c r="J26" s="14">
        <v>0</v>
      </c>
      <c r="K26" s="156"/>
      <c r="L26" s="14">
        <v>0</v>
      </c>
      <c r="M26" s="7"/>
      <c r="N26" s="7"/>
    </row>
    <row r="27" spans="1:14" x14ac:dyDescent="0.4">
      <c r="A27" s="9"/>
      <c r="B27" s="9" t="s">
        <v>317</v>
      </c>
      <c r="C27" s="9"/>
      <c r="D27" s="13">
        <v>8.4</v>
      </c>
      <c r="E27" s="8"/>
      <c r="F27" s="184">
        <v>33501078.25</v>
      </c>
      <c r="G27" s="184"/>
      <c r="H27" s="184">
        <v>54548718.310000002</v>
      </c>
      <c r="I27" s="156"/>
      <c r="J27" s="14">
        <v>28007001.620000001</v>
      </c>
      <c r="K27" s="156"/>
      <c r="L27" s="14">
        <v>33838584.799999997</v>
      </c>
      <c r="M27" s="7"/>
      <c r="N27" s="7"/>
    </row>
    <row r="28" spans="1:14" x14ac:dyDescent="0.4">
      <c r="A28" s="9"/>
      <c r="B28" s="9" t="s">
        <v>369</v>
      </c>
      <c r="C28" s="9"/>
      <c r="D28" s="13">
        <v>6</v>
      </c>
      <c r="E28" s="8"/>
      <c r="F28" s="184">
        <v>7709079.5999999996</v>
      </c>
      <c r="G28" s="184"/>
      <c r="H28" s="184">
        <v>8338823.5</v>
      </c>
      <c r="I28" s="156"/>
      <c r="J28" s="14">
        <v>633.47</v>
      </c>
      <c r="K28" s="156"/>
      <c r="L28" s="14">
        <v>37.1</v>
      </c>
      <c r="M28" s="7"/>
      <c r="N28" s="7"/>
    </row>
    <row r="29" spans="1:14" x14ac:dyDescent="0.4">
      <c r="A29" s="9"/>
      <c r="B29" s="9" t="s">
        <v>322</v>
      </c>
      <c r="C29" s="9"/>
      <c r="D29" s="13">
        <v>6</v>
      </c>
      <c r="E29" s="8"/>
      <c r="F29" s="160">
        <v>96733262.349999994</v>
      </c>
      <c r="G29" s="184"/>
      <c r="H29" s="160">
        <v>0</v>
      </c>
      <c r="I29" s="156"/>
      <c r="J29" s="14">
        <v>10696.78</v>
      </c>
      <c r="K29" s="156"/>
      <c r="L29" s="14">
        <v>0</v>
      </c>
      <c r="M29" s="7"/>
      <c r="N29" s="7"/>
    </row>
    <row r="30" spans="1:14" x14ac:dyDescent="0.4">
      <c r="A30" s="9"/>
      <c r="B30" s="9"/>
      <c r="C30" s="9" t="s">
        <v>163</v>
      </c>
      <c r="D30" s="13"/>
      <c r="E30" s="13"/>
      <c r="F30" s="159">
        <f>SUM(F24:F29)</f>
        <v>229433268.94</v>
      </c>
      <c r="G30" s="160"/>
      <c r="H30" s="159">
        <f>SUM(H24:H29)</f>
        <v>144944303.59999999</v>
      </c>
      <c r="I30" s="14"/>
      <c r="J30" s="159">
        <f>SUM(J24:J29)</f>
        <v>102616986.88</v>
      </c>
      <c r="K30" s="14"/>
      <c r="L30" s="159">
        <f>SUM(L24:L29)</f>
        <v>104943618.44999999</v>
      </c>
      <c r="M30" s="7"/>
      <c r="N30" s="7"/>
    </row>
    <row r="31" spans="1:14" ht="5.25" customHeight="1" x14ac:dyDescent="0.4">
      <c r="A31" s="9"/>
      <c r="B31" s="9"/>
      <c r="C31" s="9"/>
      <c r="D31" s="13"/>
      <c r="E31" s="13"/>
      <c r="F31" s="184"/>
      <c r="G31" s="184"/>
      <c r="H31" s="184"/>
      <c r="I31" s="156"/>
      <c r="J31" s="14"/>
      <c r="K31" s="156"/>
      <c r="L31" s="14"/>
      <c r="M31" s="7"/>
      <c r="N31" s="7"/>
    </row>
    <row r="32" spans="1:14" x14ac:dyDescent="0.4">
      <c r="A32" s="9" t="s">
        <v>327</v>
      </c>
      <c r="B32" s="9"/>
      <c r="C32" s="9"/>
      <c r="D32" s="13"/>
      <c r="E32" s="13"/>
      <c r="F32" s="184">
        <f>+F21-F30</f>
        <v>324719685.57000011</v>
      </c>
      <c r="G32" s="184"/>
      <c r="H32" s="184">
        <f>+H21-H30</f>
        <v>78894961.069999993</v>
      </c>
      <c r="I32" s="156"/>
      <c r="J32" s="184">
        <f>+J21-J30</f>
        <v>123581934.42999998</v>
      </c>
      <c r="K32" s="156"/>
      <c r="L32" s="184">
        <f>+L21-L30</f>
        <v>41917347.660000026</v>
      </c>
      <c r="M32" s="7"/>
      <c r="N32" s="7"/>
    </row>
    <row r="33" spans="1:14" x14ac:dyDescent="0.4">
      <c r="A33" s="9"/>
      <c r="B33" s="9" t="s">
        <v>213</v>
      </c>
      <c r="C33" s="9"/>
      <c r="D33" s="13"/>
      <c r="E33" s="13"/>
      <c r="F33" s="184">
        <v>4913598.17</v>
      </c>
      <c r="G33" s="184"/>
      <c r="H33" s="184">
        <v>5219442.4800000004</v>
      </c>
      <c r="I33" s="156"/>
      <c r="J33" s="184">
        <v>5074827.68</v>
      </c>
      <c r="K33" s="156"/>
      <c r="L33" s="184">
        <v>5591360.2999999998</v>
      </c>
      <c r="M33" s="7"/>
      <c r="N33" s="7"/>
    </row>
    <row r="34" spans="1:14" x14ac:dyDescent="0.4">
      <c r="A34" s="9"/>
      <c r="B34" s="9" t="s">
        <v>351</v>
      </c>
      <c r="C34" s="9"/>
      <c r="D34" s="197">
        <v>10</v>
      </c>
      <c r="E34" s="8"/>
      <c r="F34" s="185">
        <v>-13583274.9</v>
      </c>
      <c r="G34" s="184"/>
      <c r="H34" s="185">
        <v>0</v>
      </c>
      <c r="I34" s="156"/>
      <c r="J34" s="157">
        <v>-13583274.9</v>
      </c>
      <c r="K34" s="156"/>
      <c r="L34" s="157">
        <v>0</v>
      </c>
      <c r="M34" s="7"/>
      <c r="N34" s="7"/>
    </row>
    <row r="35" spans="1:14" ht="6" customHeight="1" x14ac:dyDescent="0.4">
      <c r="A35" s="9"/>
      <c r="B35" s="9"/>
      <c r="C35" s="9"/>
      <c r="D35" s="13"/>
      <c r="E35" s="13"/>
      <c r="F35" s="184"/>
      <c r="G35" s="184"/>
      <c r="H35" s="184"/>
      <c r="I35" s="156"/>
      <c r="J35" s="14"/>
      <c r="K35" s="156"/>
      <c r="L35" s="14"/>
      <c r="M35" s="7"/>
      <c r="N35" s="7"/>
    </row>
    <row r="36" spans="1:14" x14ac:dyDescent="0.4">
      <c r="A36" s="9" t="s">
        <v>257</v>
      </c>
      <c r="B36" s="9"/>
      <c r="C36" s="9"/>
      <c r="D36" s="30"/>
      <c r="E36" s="30"/>
      <c r="F36" s="14">
        <f>+F32-F33+F34</f>
        <v>306222812.50000012</v>
      </c>
      <c r="G36" s="160"/>
      <c r="H36" s="14">
        <f>+H32-H33+H34</f>
        <v>73675518.589999989</v>
      </c>
      <c r="I36" s="156"/>
      <c r="J36" s="14">
        <f>+J32-J33+J34</f>
        <v>104923831.84999996</v>
      </c>
      <c r="K36" s="156"/>
      <c r="L36" s="14">
        <f>+L32-L33+L34</f>
        <v>36325987.360000029</v>
      </c>
      <c r="M36" s="7"/>
      <c r="N36" s="7"/>
    </row>
    <row r="37" spans="1:14" x14ac:dyDescent="0.4">
      <c r="A37" s="9" t="s">
        <v>272</v>
      </c>
      <c r="B37" s="9"/>
      <c r="C37" s="9"/>
      <c r="D37" s="6">
        <v>17.2</v>
      </c>
      <c r="F37" s="168">
        <v>-19753702.440000001</v>
      </c>
      <c r="G37" s="184"/>
      <c r="H37" s="168">
        <v>-1505237.97</v>
      </c>
      <c r="I37" s="156"/>
      <c r="J37" s="157">
        <v>-21941268.41</v>
      </c>
      <c r="K37" s="14"/>
      <c r="L37" s="157">
        <v>-5457257.3099999996</v>
      </c>
      <c r="M37" s="7"/>
      <c r="N37" s="7"/>
    </row>
    <row r="38" spans="1:14" ht="18" customHeight="1" thickBot="1" x14ac:dyDescent="0.45">
      <c r="A38" s="18" t="s">
        <v>164</v>
      </c>
      <c r="B38" s="9"/>
      <c r="C38" s="9"/>
      <c r="D38" s="13"/>
      <c r="E38" s="13"/>
      <c r="F38" s="206">
        <f>SUM(F36:F37)</f>
        <v>286469110.06000012</v>
      </c>
      <c r="G38" s="184"/>
      <c r="H38" s="206">
        <f>SUM(H36:H37)</f>
        <v>72170280.61999999</v>
      </c>
      <c r="I38" s="156"/>
      <c r="J38" s="206">
        <f>SUM(J36:J37)</f>
        <v>82982563.439999968</v>
      </c>
      <c r="K38" s="14"/>
      <c r="L38" s="206">
        <f>SUM(L36:L37)</f>
        <v>30868730.050000031</v>
      </c>
      <c r="M38" s="7"/>
      <c r="N38" s="7"/>
    </row>
    <row r="39" spans="1:14" ht="6.75" customHeight="1" thickTop="1" x14ac:dyDescent="0.4">
      <c r="A39" s="18"/>
      <c r="B39" s="9"/>
      <c r="C39" s="9"/>
      <c r="D39" s="13"/>
      <c r="E39" s="13"/>
      <c r="F39" s="184"/>
      <c r="G39" s="184"/>
      <c r="H39" s="184"/>
      <c r="I39" s="156"/>
      <c r="J39" s="184"/>
      <c r="K39" s="14"/>
      <c r="L39" s="184"/>
      <c r="M39" s="7"/>
      <c r="N39" s="7"/>
    </row>
    <row r="40" spans="1:14" ht="15.75" customHeight="1" x14ac:dyDescent="0.4">
      <c r="A40" s="201" t="s">
        <v>239</v>
      </c>
      <c r="B40" s="207"/>
      <c r="C40" s="201"/>
      <c r="D40" s="13"/>
      <c r="E40" s="13"/>
      <c r="F40" s="184"/>
      <c r="G40" s="184"/>
      <c r="H40" s="184"/>
      <c r="I40" s="156"/>
      <c r="J40" s="184"/>
      <c r="K40" s="14"/>
      <c r="L40" s="184"/>
      <c r="M40" s="7"/>
      <c r="N40" s="7"/>
    </row>
    <row r="41" spans="1:14" ht="18.75" x14ac:dyDescent="0.4">
      <c r="A41" s="201"/>
      <c r="B41" s="18" t="s">
        <v>240</v>
      </c>
      <c r="C41" s="201"/>
      <c r="D41" s="13"/>
      <c r="E41" s="13"/>
      <c r="F41" s="184">
        <f>+F38-F42</f>
        <v>286717125.59000009</v>
      </c>
      <c r="G41" s="184"/>
      <c r="H41" s="184">
        <f>+H38-H42</f>
        <v>72543989.199999988</v>
      </c>
      <c r="I41" s="184"/>
      <c r="J41" s="184">
        <f>J38</f>
        <v>82982563.439999968</v>
      </c>
      <c r="K41" s="184"/>
      <c r="L41" s="184">
        <f>L38</f>
        <v>30868730.050000031</v>
      </c>
      <c r="M41" s="7"/>
      <c r="N41" s="7"/>
    </row>
    <row r="42" spans="1:14" ht="18.75" x14ac:dyDescent="0.4">
      <c r="A42" s="18"/>
      <c r="B42" s="9" t="s">
        <v>233</v>
      </c>
      <c r="C42" s="9"/>
      <c r="D42" s="13"/>
      <c r="E42" s="13"/>
      <c r="F42" s="185">
        <v>-248015.53</v>
      </c>
      <c r="G42" s="21"/>
      <c r="H42" s="185">
        <v>-373708.58</v>
      </c>
      <c r="I42" s="169"/>
      <c r="J42" s="170">
        <v>0</v>
      </c>
      <c r="K42" s="169"/>
      <c r="L42" s="170">
        <v>0</v>
      </c>
      <c r="M42" s="7"/>
      <c r="N42" s="7"/>
    </row>
    <row r="43" spans="1:14" ht="18.75" thickBot="1" x14ac:dyDescent="0.45">
      <c r="A43" s="9"/>
      <c r="B43" s="9"/>
      <c r="C43" s="9"/>
      <c r="D43" s="30"/>
      <c r="E43" s="30"/>
      <c r="F43" s="161">
        <f>SUM(F41:F42)</f>
        <v>286469110.06000012</v>
      </c>
      <c r="G43" s="160"/>
      <c r="H43" s="161">
        <f>SUM(H41:H42)</f>
        <v>72170280.61999999</v>
      </c>
      <c r="I43" s="156"/>
      <c r="J43" s="161">
        <f>SUM(J41:J42)</f>
        <v>82982563.439999968</v>
      </c>
      <c r="K43" s="156"/>
      <c r="L43" s="161">
        <f>SUM(L41:L42)</f>
        <v>30868730.050000031</v>
      </c>
      <c r="M43" s="7"/>
      <c r="N43" s="7"/>
    </row>
    <row r="44" spans="1:14" ht="5.25" customHeight="1" thickTop="1" x14ac:dyDescent="0.4">
      <c r="A44" s="9"/>
      <c r="B44" s="9"/>
      <c r="C44" s="9"/>
      <c r="D44" s="13"/>
      <c r="E44" s="13"/>
      <c r="F44" s="184"/>
      <c r="G44" s="184"/>
      <c r="H44" s="184"/>
      <c r="I44" s="156"/>
      <c r="J44" s="21"/>
      <c r="K44" s="156"/>
      <c r="L44" s="21"/>
      <c r="M44" s="7"/>
      <c r="N44" s="7"/>
    </row>
    <row r="45" spans="1:14" ht="15" customHeight="1" x14ac:dyDescent="0.4">
      <c r="A45" s="18" t="s">
        <v>247</v>
      </c>
      <c r="B45" s="9"/>
      <c r="C45" s="9"/>
      <c r="D45" s="208"/>
      <c r="E45" s="13"/>
      <c r="F45" s="184"/>
      <c r="G45" s="184"/>
      <c r="H45" s="184"/>
      <c r="I45" s="156"/>
      <c r="J45" s="21"/>
      <c r="K45" s="156"/>
      <c r="L45" s="21"/>
      <c r="M45" s="7"/>
      <c r="N45" s="7"/>
    </row>
    <row r="46" spans="1:14" ht="18.75" thickBot="1" x14ac:dyDescent="0.45">
      <c r="A46" s="9"/>
      <c r="B46" s="18" t="s">
        <v>209</v>
      </c>
      <c r="C46" s="9"/>
      <c r="D46" s="13">
        <v>24</v>
      </c>
      <c r="E46" s="13"/>
      <c r="F46" s="179">
        <f>ROUND((+F41/F47),3)</f>
        <v>3.1E-2</v>
      </c>
      <c r="G46" s="209"/>
      <c r="H46" s="179">
        <f>ROUND((+H41/H47),3)</f>
        <v>8.0000000000000002E-3</v>
      </c>
      <c r="I46" s="210"/>
      <c r="J46" s="179">
        <f>ROUND((+J41/J47),3)</f>
        <v>8.9999999999999993E-3</v>
      </c>
      <c r="K46" s="210"/>
      <c r="L46" s="179">
        <f>ROUND((+L41/L47),3)</f>
        <v>3.0000000000000001E-3</v>
      </c>
      <c r="M46" s="7"/>
      <c r="N46" s="4"/>
    </row>
    <row r="47" spans="1:14" ht="19.5" thickTop="1" thickBot="1" x14ac:dyDescent="0.45">
      <c r="A47" s="9"/>
      <c r="B47" s="18" t="s">
        <v>165</v>
      </c>
      <c r="C47" s="9"/>
      <c r="D47" s="13"/>
      <c r="E47" s="13"/>
      <c r="F47" s="173">
        <v>9315208558</v>
      </c>
      <c r="G47" s="211"/>
      <c r="H47" s="173">
        <v>9315208558</v>
      </c>
      <c r="I47" s="212"/>
      <c r="J47" s="173">
        <v>9315208558</v>
      </c>
      <c r="K47" s="211"/>
      <c r="L47" s="173">
        <v>9315208558</v>
      </c>
      <c r="M47" s="7"/>
      <c r="N47" s="4"/>
    </row>
    <row r="48" spans="1:14" ht="6.75" customHeight="1" thickTop="1" x14ac:dyDescent="0.4">
      <c r="A48" s="9"/>
      <c r="B48" s="9"/>
      <c r="C48" s="9"/>
      <c r="D48" s="13"/>
      <c r="E48" s="13"/>
      <c r="F48" s="166"/>
      <c r="G48" s="166"/>
      <c r="H48" s="166"/>
      <c r="I48" s="156"/>
      <c r="J48" s="14"/>
      <c r="K48" s="156"/>
      <c r="L48" s="14"/>
      <c r="M48" s="7"/>
      <c r="N48" s="4"/>
    </row>
    <row r="49" spans="1:14" ht="14.25" customHeight="1" x14ac:dyDescent="0.4">
      <c r="A49" s="18" t="s">
        <v>248</v>
      </c>
      <c r="B49" s="9"/>
      <c r="C49" s="9"/>
      <c r="D49" s="208"/>
      <c r="E49" s="13"/>
      <c r="F49" s="184"/>
      <c r="G49" s="184"/>
      <c r="H49" s="184"/>
      <c r="I49" s="156"/>
      <c r="J49" s="21"/>
      <c r="K49" s="156"/>
      <c r="L49" s="21"/>
      <c r="M49" s="7"/>
      <c r="N49" s="7"/>
    </row>
    <row r="50" spans="1:14" ht="18.75" thickBot="1" x14ac:dyDescent="0.45">
      <c r="A50" s="9"/>
      <c r="B50" s="18" t="s">
        <v>209</v>
      </c>
      <c r="C50" s="9"/>
      <c r="D50" s="13">
        <v>24</v>
      </c>
      <c r="E50" s="13"/>
      <c r="F50" s="179">
        <f>ROUND((+F41/F51),3)</f>
        <v>3.3000000000000002E-2</v>
      </c>
      <c r="G50" s="209"/>
      <c r="H50" s="179">
        <f>ROUND((+H41/H51),3)</f>
        <v>0.01</v>
      </c>
      <c r="I50" s="210"/>
      <c r="J50" s="179">
        <f>ROUND((+J41/J51),3)</f>
        <v>0.01</v>
      </c>
      <c r="K50" s="210"/>
      <c r="L50" s="179">
        <f>ROUND((+L41/L51),3)</f>
        <v>4.0000000000000001E-3</v>
      </c>
      <c r="M50" s="7"/>
      <c r="N50" s="4"/>
    </row>
    <row r="51" spans="1:14" ht="19.5" thickTop="1" thickBot="1" x14ac:dyDescent="0.45">
      <c r="A51" s="9"/>
      <c r="B51" s="18" t="s">
        <v>165</v>
      </c>
      <c r="C51" s="9"/>
      <c r="D51" s="13"/>
      <c r="E51" s="13"/>
      <c r="F51" s="173">
        <v>8702809269</v>
      </c>
      <c r="G51" s="213"/>
      <c r="H51" s="173">
        <v>7537391496</v>
      </c>
      <c r="I51" s="212"/>
      <c r="J51" s="173">
        <v>8702809269</v>
      </c>
      <c r="K51" s="211"/>
      <c r="L51" s="173">
        <v>7537391496</v>
      </c>
      <c r="M51" s="7"/>
      <c r="N51" s="4"/>
    </row>
    <row r="52" spans="1:14" ht="8.25" customHeight="1" thickTop="1" x14ac:dyDescent="0.4">
      <c r="A52" s="9"/>
      <c r="B52" s="9"/>
      <c r="C52" s="9"/>
      <c r="D52" s="13"/>
      <c r="E52" s="13"/>
      <c r="F52" s="13"/>
      <c r="G52" s="13"/>
      <c r="H52" s="13"/>
      <c r="I52" s="9"/>
      <c r="J52" s="11"/>
      <c r="K52" s="9"/>
      <c r="L52" s="11"/>
      <c r="M52" s="7"/>
      <c r="N52" s="4"/>
    </row>
    <row r="53" spans="1:14" x14ac:dyDescent="0.4">
      <c r="A53" s="15" t="str">
        <f>+'BS_Q2-67'!A45</f>
        <v>The accompanying interim notes to financial statements are an integral part of these interim financial statements.</v>
      </c>
      <c r="B53" s="9"/>
      <c r="C53" s="9"/>
      <c r="D53" s="13"/>
      <c r="E53" s="13"/>
      <c r="F53" s="13"/>
      <c r="G53" s="13"/>
      <c r="H53" s="13"/>
      <c r="I53" s="9"/>
      <c r="J53" s="11"/>
      <c r="K53" s="9"/>
      <c r="L53" s="11"/>
      <c r="M53" s="7"/>
      <c r="N53" s="4"/>
    </row>
    <row r="54" spans="1:14" ht="11.25" customHeight="1" x14ac:dyDescent="0.4">
      <c r="A54" s="9"/>
      <c r="B54" s="9"/>
      <c r="C54" s="9"/>
      <c r="D54" s="13"/>
      <c r="E54" s="13"/>
      <c r="F54" s="13"/>
      <c r="G54" s="13"/>
      <c r="H54" s="13"/>
      <c r="I54" s="9"/>
      <c r="J54" s="11"/>
      <c r="K54" s="9"/>
      <c r="L54" s="11"/>
      <c r="M54" s="7"/>
      <c r="N54" s="4"/>
    </row>
    <row r="55" spans="1:14" ht="16.5" customHeight="1" x14ac:dyDescent="0.4">
      <c r="A55" s="9"/>
      <c r="B55" s="9"/>
      <c r="C55" s="9"/>
      <c r="D55" s="13"/>
      <c r="E55" s="13"/>
      <c r="F55" s="13"/>
      <c r="G55" s="13"/>
      <c r="H55" s="13"/>
      <c r="I55" s="9"/>
      <c r="J55" s="11"/>
      <c r="K55" s="9"/>
      <c r="L55" s="11"/>
      <c r="M55" s="7"/>
      <c r="N55" s="4"/>
    </row>
    <row r="56" spans="1:14" x14ac:dyDescent="0.4">
      <c r="A56" s="13"/>
      <c r="B56" s="24" t="s">
        <v>145</v>
      </c>
      <c r="C56" s="13"/>
      <c r="D56" s="24"/>
      <c r="E56" s="13"/>
      <c r="G56" s="13"/>
      <c r="H56" s="24" t="s">
        <v>145</v>
      </c>
      <c r="I56" s="13"/>
      <c r="J56" s="13"/>
      <c r="K56" s="13"/>
      <c r="L56" s="13"/>
    </row>
    <row r="57" spans="1:14" ht="17.25" customHeight="1" x14ac:dyDescent="0.4">
      <c r="A57" s="221">
        <v>8</v>
      </c>
      <c r="B57" s="221"/>
      <c r="C57" s="221"/>
      <c r="D57" s="221"/>
      <c r="E57" s="221"/>
      <c r="F57" s="221"/>
      <c r="G57" s="221"/>
      <c r="H57" s="221"/>
      <c r="I57" s="221"/>
      <c r="J57" s="221"/>
      <c r="K57" s="221"/>
      <c r="L57" s="221"/>
    </row>
    <row r="58" spans="1:14" ht="1.5" customHeight="1" x14ac:dyDescent="0.4">
      <c r="B58" s="9"/>
      <c r="C58" s="9"/>
      <c r="D58" s="30"/>
      <c r="E58" s="30"/>
      <c r="F58" s="17"/>
      <c r="G58" s="30"/>
      <c r="H58" s="17"/>
      <c r="I58" s="9"/>
      <c r="J58" s="17"/>
      <c r="K58" s="17"/>
      <c r="L58" s="194"/>
    </row>
    <row r="59" spans="1:14" x14ac:dyDescent="0.4">
      <c r="A59" s="9"/>
      <c r="B59" s="9"/>
      <c r="C59" s="9"/>
      <c r="D59" s="30"/>
      <c r="E59" s="30"/>
      <c r="F59" s="17"/>
      <c r="G59" s="30"/>
      <c r="H59" s="17"/>
      <c r="I59" s="9"/>
      <c r="J59" s="238" t="s">
        <v>338</v>
      </c>
      <c r="K59" s="238"/>
      <c r="L59" s="238"/>
    </row>
    <row r="60" spans="1:14" x14ac:dyDescent="0.4">
      <c r="A60" s="222" t="str">
        <f>A2</f>
        <v>THE BROOKER GROUP PUBLIC COMPANY LIMITED AND ITS SUBSIDIARIES</v>
      </c>
      <c r="B60" s="222"/>
      <c r="C60" s="222"/>
      <c r="D60" s="222"/>
      <c r="E60" s="222"/>
      <c r="F60" s="222"/>
      <c r="G60" s="222"/>
      <c r="H60" s="222"/>
      <c r="I60" s="222"/>
      <c r="J60" s="222"/>
      <c r="K60" s="222"/>
      <c r="L60" s="222"/>
    </row>
    <row r="61" spans="1:14" x14ac:dyDescent="0.4">
      <c r="A61" s="222" t="s">
        <v>226</v>
      </c>
      <c r="B61" s="222"/>
      <c r="C61" s="222"/>
      <c r="D61" s="222"/>
      <c r="E61" s="222"/>
      <c r="F61" s="222"/>
      <c r="G61" s="222"/>
      <c r="H61" s="222"/>
      <c r="I61" s="222"/>
      <c r="J61" s="222"/>
      <c r="K61" s="222"/>
      <c r="L61" s="222"/>
    </row>
    <row r="62" spans="1:14" x14ac:dyDescent="0.4">
      <c r="A62" s="222" t="str">
        <f>A4</f>
        <v>FOR  THE SIX-MONTH PERIOD ENDED JUNE 30, 2024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  <c r="L62" s="222"/>
    </row>
    <row r="63" spans="1:14" x14ac:dyDescent="0.4">
      <c r="A63" s="9"/>
      <c r="B63" s="9"/>
      <c r="C63" s="26"/>
      <c r="F63" s="223" t="s">
        <v>132</v>
      </c>
      <c r="G63" s="223"/>
      <c r="H63" s="223"/>
      <c r="I63" s="223"/>
      <c r="J63" s="223"/>
      <c r="K63" s="223"/>
      <c r="L63" s="223"/>
    </row>
    <row r="64" spans="1:14" x14ac:dyDescent="0.4">
      <c r="A64" s="9"/>
      <c r="B64" s="9"/>
      <c r="C64" s="9" t="s">
        <v>4</v>
      </c>
      <c r="F64" s="237" t="s">
        <v>205</v>
      </c>
      <c r="G64" s="237"/>
      <c r="H64" s="237"/>
      <c r="J64" s="237" t="s">
        <v>206</v>
      </c>
      <c r="K64" s="237"/>
      <c r="L64" s="237"/>
    </row>
    <row r="65" spans="1:12" x14ac:dyDescent="0.4">
      <c r="A65" s="9"/>
      <c r="B65" s="9"/>
      <c r="C65" s="9"/>
      <c r="F65" s="237" t="str">
        <f>+F7</f>
        <v>For the six-month period ended June 30</v>
      </c>
      <c r="G65" s="237"/>
      <c r="H65" s="237"/>
      <c r="I65" s="1"/>
      <c r="J65" s="237" t="str">
        <f>+J7</f>
        <v>For the six-month period ended June 30</v>
      </c>
      <c r="K65" s="237"/>
      <c r="L65" s="237"/>
    </row>
    <row r="66" spans="1:12" x14ac:dyDescent="0.4">
      <c r="A66" s="9"/>
      <c r="B66" s="9"/>
      <c r="C66" s="9"/>
      <c r="D66" s="183" t="s">
        <v>133</v>
      </c>
      <c r="F66" s="183">
        <f>+F8</f>
        <v>2024</v>
      </c>
      <c r="H66" s="183">
        <f>+H8</f>
        <v>2023</v>
      </c>
      <c r="J66" s="183">
        <f>+J8</f>
        <v>2024</v>
      </c>
      <c r="K66" s="6"/>
      <c r="L66" s="183">
        <f>+L8</f>
        <v>2023</v>
      </c>
    </row>
    <row r="67" spans="1:12" x14ac:dyDescent="0.4">
      <c r="A67" s="127"/>
      <c r="B67" s="9"/>
      <c r="C67" s="9"/>
      <c r="D67" s="13"/>
      <c r="E67" s="13"/>
      <c r="F67" s="10"/>
      <c r="G67" s="10"/>
      <c r="H67" s="8"/>
      <c r="I67" s="9"/>
      <c r="J67" s="11"/>
      <c r="K67" s="9"/>
      <c r="L67" s="8"/>
    </row>
    <row r="68" spans="1:12" x14ac:dyDescent="0.4">
      <c r="A68" s="9" t="s">
        <v>334</v>
      </c>
      <c r="B68" s="9"/>
      <c r="C68" s="9"/>
      <c r="D68" s="13"/>
      <c r="E68" s="13"/>
      <c r="F68" s="168">
        <f>+F38</f>
        <v>286469110.06000012</v>
      </c>
      <c r="G68" s="184"/>
      <c r="H68" s="168">
        <f>+H38</f>
        <v>72170280.61999999</v>
      </c>
      <c r="I68" s="156"/>
      <c r="J68" s="168">
        <f>+J38</f>
        <v>82982563.439999968</v>
      </c>
      <c r="K68" s="156"/>
      <c r="L68" s="168">
        <f>+L38</f>
        <v>30868730.050000031</v>
      </c>
    </row>
    <row r="69" spans="1:12" x14ac:dyDescent="0.4">
      <c r="A69" s="9"/>
      <c r="B69" s="9"/>
      <c r="C69" s="9"/>
      <c r="D69" s="13"/>
      <c r="E69" s="13"/>
      <c r="F69" s="160"/>
      <c r="G69" s="184"/>
      <c r="H69" s="160"/>
      <c r="I69" s="156"/>
      <c r="J69" s="160"/>
      <c r="K69" s="156"/>
      <c r="L69" s="160"/>
    </row>
    <row r="70" spans="1:12" x14ac:dyDescent="0.4">
      <c r="A70" s="9" t="s">
        <v>241</v>
      </c>
      <c r="B70" s="9"/>
      <c r="C70" s="9"/>
      <c r="D70" s="13"/>
      <c r="E70" s="13"/>
      <c r="F70" s="160"/>
      <c r="G70" s="184"/>
      <c r="H70" s="160"/>
      <c r="I70" s="156"/>
      <c r="J70" s="21"/>
      <c r="K70" s="156"/>
      <c r="L70" s="21"/>
    </row>
    <row r="71" spans="1:12" x14ac:dyDescent="0.4">
      <c r="A71" s="9" t="s">
        <v>292</v>
      </c>
      <c r="B71" s="214"/>
      <c r="C71" s="214"/>
      <c r="D71" s="13"/>
      <c r="E71" s="13"/>
      <c r="F71" s="23"/>
      <c r="G71" s="184"/>
      <c r="H71" s="3"/>
      <c r="J71" s="3"/>
      <c r="L71" s="3"/>
    </row>
    <row r="72" spans="1:12" x14ac:dyDescent="0.4">
      <c r="A72" s="214"/>
      <c r="B72" s="9" t="s">
        <v>293</v>
      </c>
      <c r="C72" s="214"/>
      <c r="D72" s="13"/>
      <c r="E72" s="13"/>
      <c r="F72" s="23"/>
      <c r="G72" s="184"/>
      <c r="H72" s="23"/>
      <c r="I72" s="156"/>
      <c r="J72" s="21"/>
      <c r="K72" s="156"/>
      <c r="L72" s="21"/>
    </row>
    <row r="73" spans="1:12" x14ac:dyDescent="0.4">
      <c r="A73" s="9"/>
      <c r="B73" s="215" t="s">
        <v>266</v>
      </c>
      <c r="C73" s="9"/>
      <c r="D73" s="13"/>
      <c r="E73" s="13"/>
      <c r="F73" s="23">
        <v>23110743.059999999</v>
      </c>
      <c r="G73" s="184"/>
      <c r="H73" s="23">
        <v>1032496.18</v>
      </c>
      <c r="I73" s="156"/>
      <c r="J73" s="21">
        <v>0</v>
      </c>
      <c r="K73" s="156"/>
      <c r="L73" s="21">
        <v>0</v>
      </c>
    </row>
    <row r="74" spans="1:12" ht="5.25" customHeight="1" x14ac:dyDescent="0.4">
      <c r="A74" s="9"/>
      <c r="B74" s="215"/>
      <c r="C74" s="9"/>
      <c r="D74" s="13"/>
      <c r="E74" s="13"/>
      <c r="F74" s="23"/>
      <c r="G74" s="184"/>
      <c r="H74" s="23"/>
      <c r="I74" s="156"/>
      <c r="J74" s="21"/>
      <c r="K74" s="156"/>
      <c r="L74" s="21"/>
    </row>
    <row r="75" spans="1:12" hidden="1" x14ac:dyDescent="0.4">
      <c r="A75" s="9" t="s">
        <v>294</v>
      </c>
      <c r="B75" s="214"/>
      <c r="C75" s="9"/>
      <c r="D75" s="13"/>
      <c r="E75" s="13"/>
      <c r="F75" s="23"/>
      <c r="G75" s="184"/>
      <c r="H75" s="23"/>
      <c r="I75" s="156"/>
      <c r="J75" s="21"/>
      <c r="K75" s="156"/>
      <c r="L75" s="21"/>
    </row>
    <row r="76" spans="1:12" hidden="1" x14ac:dyDescent="0.4">
      <c r="A76" s="214"/>
      <c r="B76" s="9" t="s">
        <v>293</v>
      </c>
      <c r="C76" s="9"/>
      <c r="D76" s="13"/>
      <c r="E76" s="13"/>
      <c r="F76" s="23"/>
      <c r="G76" s="184"/>
      <c r="H76" s="23"/>
      <c r="I76" s="156"/>
      <c r="J76" s="21"/>
      <c r="K76" s="156"/>
      <c r="L76" s="21"/>
    </row>
    <row r="77" spans="1:12" hidden="1" x14ac:dyDescent="0.4">
      <c r="A77" s="9"/>
      <c r="B77" s="9" t="s">
        <v>295</v>
      </c>
      <c r="C77" s="9"/>
      <c r="D77" s="13">
        <v>21</v>
      </c>
      <c r="E77" s="13"/>
      <c r="F77" s="23">
        <v>0</v>
      </c>
      <c r="G77" s="184"/>
      <c r="H77" s="23">
        <v>0</v>
      </c>
      <c r="I77" s="156"/>
      <c r="J77" s="21">
        <v>0</v>
      </c>
      <c r="K77" s="156"/>
      <c r="L77" s="21">
        <v>0</v>
      </c>
    </row>
    <row r="78" spans="1:12" hidden="1" x14ac:dyDescent="0.4">
      <c r="A78" s="9"/>
      <c r="B78" s="9" t="s">
        <v>296</v>
      </c>
      <c r="C78" s="9"/>
      <c r="D78" s="13"/>
      <c r="E78" s="13"/>
      <c r="F78" s="168">
        <v>0</v>
      </c>
      <c r="G78" s="184"/>
      <c r="H78" s="168">
        <v>0</v>
      </c>
      <c r="I78" s="156"/>
      <c r="J78" s="157">
        <v>0</v>
      </c>
      <c r="K78" s="156"/>
      <c r="L78" s="157">
        <v>0</v>
      </c>
    </row>
    <row r="79" spans="1:12" x14ac:dyDescent="0.4">
      <c r="A79" s="9" t="s">
        <v>341</v>
      </c>
      <c r="B79" s="9"/>
      <c r="C79" s="9"/>
      <c r="D79" s="13"/>
      <c r="E79" s="13"/>
      <c r="F79" s="171">
        <f>SUM(F71:F78)</f>
        <v>23110743.059999999</v>
      </c>
      <c r="G79" s="184"/>
      <c r="H79" s="171">
        <f>SUM(H72:H78)</f>
        <v>1032496.18</v>
      </c>
      <c r="I79" s="156"/>
      <c r="J79" s="171">
        <f>SUM(J72:J78)</f>
        <v>0</v>
      </c>
      <c r="K79" s="156"/>
      <c r="L79" s="171">
        <f>SUM(L72:L78)</f>
        <v>0</v>
      </c>
    </row>
    <row r="80" spans="1:12" x14ac:dyDescent="0.4">
      <c r="A80" s="9"/>
      <c r="B80" s="9"/>
      <c r="C80" s="9"/>
      <c r="D80" s="13"/>
      <c r="E80" s="13"/>
      <c r="F80" s="160"/>
      <c r="G80" s="184"/>
      <c r="H80" s="160"/>
      <c r="I80" s="156"/>
      <c r="J80" s="14"/>
      <c r="K80" s="156"/>
      <c r="L80" s="14"/>
    </row>
    <row r="81" spans="1:12" ht="18.75" thickBot="1" x14ac:dyDescent="0.45">
      <c r="A81" s="9" t="s">
        <v>333</v>
      </c>
      <c r="B81" s="9"/>
      <c r="C81" s="9"/>
      <c r="D81" s="13"/>
      <c r="E81" s="13"/>
      <c r="F81" s="167">
        <f>+F68+F79</f>
        <v>309579853.12000012</v>
      </c>
      <c r="G81" s="184"/>
      <c r="H81" s="167">
        <f>+H68+H79</f>
        <v>73202776.799999997</v>
      </c>
      <c r="I81" s="156"/>
      <c r="J81" s="167">
        <f>+J68+J79</f>
        <v>82982563.439999968</v>
      </c>
      <c r="K81" s="156"/>
      <c r="L81" s="167">
        <f>+L68+L79</f>
        <v>30868730.050000031</v>
      </c>
    </row>
    <row r="82" spans="1:12" ht="18.75" thickTop="1" x14ac:dyDescent="0.4">
      <c r="A82" s="9"/>
      <c r="B82" s="9"/>
      <c r="C82" s="9"/>
      <c r="D82" s="13"/>
      <c r="E82" s="13"/>
      <c r="F82" s="166"/>
      <c r="G82" s="166"/>
      <c r="H82" s="166"/>
      <c r="I82" s="156"/>
      <c r="J82" s="14"/>
      <c r="K82" s="156"/>
      <c r="L82" s="14"/>
    </row>
    <row r="83" spans="1:12" ht="18.75" x14ac:dyDescent="0.4">
      <c r="A83" s="18" t="s">
        <v>242</v>
      </c>
      <c r="B83" s="18"/>
      <c r="C83" s="18"/>
      <c r="D83" s="216"/>
      <c r="E83" s="148"/>
      <c r="F83" s="170"/>
      <c r="G83" s="217"/>
      <c r="H83" s="170"/>
      <c r="I83" s="169"/>
      <c r="J83" s="170"/>
      <c r="K83" s="217"/>
      <c r="L83" s="217"/>
    </row>
    <row r="84" spans="1:12" ht="18.75" x14ac:dyDescent="0.4">
      <c r="A84" s="18"/>
      <c r="B84" s="18" t="s">
        <v>240</v>
      </c>
      <c r="C84" s="18"/>
      <c r="D84" s="216"/>
      <c r="E84" s="218">
        <v>852812933</v>
      </c>
      <c r="F84" s="23">
        <f>+F81-F85</f>
        <v>309827868.6500001</v>
      </c>
      <c r="G84" s="184"/>
      <c r="H84" s="23">
        <f>+H81-H85</f>
        <v>73576485.379999995</v>
      </c>
      <c r="I84" s="184"/>
      <c r="J84" s="23">
        <f>+J81-J85</f>
        <v>82982563.439999968</v>
      </c>
      <c r="K84" s="184"/>
      <c r="L84" s="23">
        <f>+L81-L85</f>
        <v>30868730.050000031</v>
      </c>
    </row>
    <row r="85" spans="1:12" ht="18.75" x14ac:dyDescent="0.4">
      <c r="A85" s="18"/>
      <c r="B85" s="9" t="s">
        <v>233</v>
      </c>
      <c r="C85" s="9"/>
      <c r="D85" s="216"/>
      <c r="E85" s="218">
        <v>-1541152</v>
      </c>
      <c r="F85" s="23">
        <f>+F42</f>
        <v>-248015.53</v>
      </c>
      <c r="G85" s="21"/>
      <c r="H85" s="23">
        <f>+H42</f>
        <v>-373708.58</v>
      </c>
      <c r="I85" s="169"/>
      <c r="J85" s="23">
        <f>+J42</f>
        <v>0</v>
      </c>
      <c r="K85" s="169"/>
      <c r="L85" s="23">
        <f>+L42</f>
        <v>0</v>
      </c>
    </row>
    <row r="86" spans="1:12" ht="19.5" thickBot="1" x14ac:dyDescent="0.45">
      <c r="A86" s="219"/>
      <c r="B86" s="219"/>
      <c r="C86" s="219"/>
      <c r="D86" s="216"/>
      <c r="E86" s="218"/>
      <c r="F86" s="172">
        <f>SUM(F84:F85)</f>
        <v>309579853.12000012</v>
      </c>
      <c r="G86" s="217"/>
      <c r="H86" s="206">
        <f>SUM(H84:H85)</f>
        <v>73202776.799999997</v>
      </c>
      <c r="I86" s="217"/>
      <c r="J86" s="172">
        <f>SUM(J84:J85)</f>
        <v>82982563.439999968</v>
      </c>
      <c r="K86" s="217"/>
      <c r="L86" s="206">
        <f>SUM(L84:L85)</f>
        <v>30868730.050000031</v>
      </c>
    </row>
    <row r="87" spans="1:12" ht="19.5" thickTop="1" x14ac:dyDescent="0.4">
      <c r="A87" s="219"/>
      <c r="B87" s="219"/>
      <c r="C87" s="219"/>
      <c r="D87" s="216"/>
      <c r="E87" s="218"/>
      <c r="F87" s="23"/>
      <c r="G87" s="217"/>
      <c r="H87" s="184"/>
      <c r="I87" s="217"/>
      <c r="J87" s="184"/>
      <c r="K87" s="217"/>
      <c r="L87" s="184"/>
    </row>
    <row r="88" spans="1:12" ht="18.75" x14ac:dyDescent="0.4">
      <c r="A88" s="15" t="str">
        <f>+A53</f>
        <v>The accompanying interim notes to financial statements are an integral part of these interim financial statements.</v>
      </c>
      <c r="B88" s="219"/>
      <c r="C88" s="219"/>
      <c r="D88" s="216"/>
      <c r="E88" s="218"/>
      <c r="F88" s="23"/>
      <c r="G88" s="217"/>
      <c r="H88" s="184"/>
      <c r="I88" s="217"/>
      <c r="J88" s="184"/>
      <c r="K88" s="217"/>
      <c r="L88" s="184"/>
    </row>
    <row r="89" spans="1:12" ht="18.75" x14ac:dyDescent="0.4">
      <c r="A89" s="219"/>
      <c r="B89" s="219"/>
      <c r="C89" s="219"/>
      <c r="D89" s="216"/>
      <c r="E89" s="218"/>
      <c r="F89" s="23"/>
      <c r="G89" s="217"/>
      <c r="H89" s="184"/>
      <c r="I89" s="217"/>
      <c r="J89" s="184"/>
      <c r="K89" s="217"/>
      <c r="L89" s="184"/>
    </row>
    <row r="90" spans="1:12" ht="18.75" x14ac:dyDescent="0.4">
      <c r="A90" s="219"/>
      <c r="B90" s="219"/>
      <c r="C90" s="219"/>
      <c r="D90" s="216"/>
      <c r="E90" s="218"/>
      <c r="F90" s="23"/>
      <c r="G90" s="217"/>
      <c r="H90" s="184"/>
      <c r="I90" s="217"/>
      <c r="J90" s="184"/>
      <c r="K90" s="217"/>
      <c r="L90" s="184"/>
    </row>
    <row r="91" spans="1:12" ht="18.75" x14ac:dyDescent="0.4">
      <c r="A91" s="219"/>
      <c r="B91" s="219"/>
      <c r="C91" s="219"/>
      <c r="D91" s="216"/>
      <c r="E91" s="218"/>
      <c r="F91" s="23"/>
      <c r="G91" s="217"/>
      <c r="H91" s="184"/>
      <c r="I91" s="217"/>
      <c r="J91" s="184"/>
      <c r="K91" s="217"/>
      <c r="L91" s="184"/>
    </row>
    <row r="92" spans="1:12" ht="18.75" x14ac:dyDescent="0.4">
      <c r="A92" s="219"/>
      <c r="B92" s="219"/>
      <c r="C92" s="219"/>
      <c r="D92" s="216"/>
      <c r="E92" s="218"/>
      <c r="F92" s="23"/>
      <c r="G92" s="217"/>
      <c r="H92" s="184"/>
      <c r="I92" s="217"/>
      <c r="J92" s="184"/>
      <c r="K92" s="217"/>
      <c r="L92" s="184"/>
    </row>
    <row r="93" spans="1:12" ht="18.75" x14ac:dyDescent="0.4">
      <c r="A93" s="219"/>
      <c r="B93" s="219"/>
      <c r="C93" s="219"/>
      <c r="D93" s="216"/>
      <c r="E93" s="218"/>
      <c r="F93" s="23"/>
      <c r="G93" s="217"/>
      <c r="H93" s="184"/>
      <c r="I93" s="217"/>
      <c r="J93" s="184"/>
      <c r="K93" s="217"/>
      <c r="L93" s="184"/>
    </row>
    <row r="94" spans="1:12" ht="18.75" x14ac:dyDescent="0.4">
      <c r="A94" s="219"/>
      <c r="B94" s="219"/>
      <c r="C94" s="219"/>
      <c r="D94" s="216"/>
      <c r="E94" s="218"/>
      <c r="F94" s="23"/>
      <c r="G94" s="217"/>
      <c r="H94" s="184"/>
      <c r="I94" s="217"/>
      <c r="J94" s="184"/>
      <c r="K94" s="217"/>
      <c r="L94" s="184"/>
    </row>
    <row r="95" spans="1:12" ht="18.75" x14ac:dyDescent="0.4">
      <c r="A95" s="219"/>
      <c r="B95" s="219"/>
      <c r="C95" s="219"/>
      <c r="D95" s="216"/>
      <c r="E95" s="218"/>
      <c r="F95" s="23"/>
      <c r="G95" s="217"/>
      <c r="H95" s="184"/>
      <c r="I95" s="217"/>
      <c r="J95" s="184"/>
      <c r="K95" s="217"/>
      <c r="L95" s="184"/>
    </row>
    <row r="96" spans="1:12" ht="18.75" x14ac:dyDescent="0.4">
      <c r="A96" s="219"/>
      <c r="B96" s="219"/>
      <c r="C96" s="219"/>
      <c r="D96" s="216"/>
      <c r="E96" s="218"/>
      <c r="F96" s="23"/>
      <c r="G96" s="217"/>
      <c r="H96" s="184"/>
      <c r="I96" s="217"/>
      <c r="J96" s="184"/>
      <c r="K96" s="217"/>
      <c r="L96" s="184"/>
    </row>
    <row r="97" spans="1:12" ht="18.75" x14ac:dyDescent="0.4">
      <c r="A97" s="219"/>
      <c r="B97" s="219"/>
      <c r="C97" s="219"/>
      <c r="D97" s="216"/>
      <c r="E97" s="218"/>
      <c r="F97" s="23"/>
      <c r="G97" s="217"/>
      <c r="H97" s="184"/>
      <c r="I97" s="217"/>
      <c r="J97" s="184"/>
      <c r="K97" s="217"/>
      <c r="L97" s="184"/>
    </row>
    <row r="98" spans="1:12" ht="18.75" x14ac:dyDescent="0.4">
      <c r="A98" s="219"/>
      <c r="B98" s="219"/>
      <c r="C98" s="219"/>
      <c r="D98" s="216"/>
      <c r="E98" s="218"/>
      <c r="F98" s="23"/>
      <c r="G98" s="217"/>
      <c r="H98" s="184"/>
      <c r="I98" s="217"/>
      <c r="J98" s="184"/>
      <c r="K98" s="217"/>
      <c r="L98" s="184"/>
    </row>
    <row r="99" spans="1:12" ht="18.75" x14ac:dyDescent="0.4">
      <c r="A99" s="219"/>
      <c r="B99" s="219"/>
      <c r="C99" s="219"/>
      <c r="D99" s="216"/>
      <c r="E99" s="218"/>
      <c r="F99" s="23"/>
      <c r="G99" s="217"/>
      <c r="H99" s="184"/>
      <c r="I99" s="217"/>
      <c r="J99" s="184"/>
      <c r="K99" s="217"/>
      <c r="L99" s="184"/>
    </row>
    <row r="100" spans="1:12" ht="18.75" x14ac:dyDescent="0.4">
      <c r="A100" s="219"/>
      <c r="B100" s="219"/>
      <c r="C100" s="219"/>
      <c r="D100" s="216"/>
      <c r="E100" s="218"/>
      <c r="F100" s="23"/>
      <c r="G100" s="217"/>
      <c r="H100" s="184"/>
      <c r="I100" s="217"/>
      <c r="J100" s="184"/>
      <c r="K100" s="217"/>
      <c r="L100" s="184"/>
    </row>
    <row r="101" spans="1:12" ht="18.75" x14ac:dyDescent="0.4">
      <c r="A101" s="219"/>
      <c r="B101" s="219"/>
      <c r="C101" s="219"/>
      <c r="D101" s="216"/>
      <c r="E101" s="218"/>
      <c r="F101" s="23"/>
      <c r="G101" s="217"/>
      <c r="H101" s="184"/>
      <c r="I101" s="217"/>
      <c r="J101" s="184"/>
      <c r="K101" s="217"/>
      <c r="L101" s="184"/>
    </row>
    <row r="102" spans="1:12" ht="18.75" x14ac:dyDescent="0.4">
      <c r="A102" s="219"/>
      <c r="B102" s="219"/>
      <c r="C102" s="219"/>
      <c r="D102" s="216"/>
      <c r="E102" s="218"/>
      <c r="F102" s="23"/>
      <c r="G102" s="217"/>
      <c r="H102" s="184"/>
      <c r="I102" s="217"/>
      <c r="J102" s="184"/>
      <c r="K102" s="217"/>
      <c r="L102" s="184"/>
    </row>
    <row r="103" spans="1:12" ht="18.75" x14ac:dyDescent="0.4">
      <c r="A103" s="219"/>
      <c r="B103" s="219"/>
      <c r="C103" s="219"/>
      <c r="D103" s="216"/>
      <c r="E103" s="218"/>
      <c r="F103" s="23"/>
      <c r="G103" s="217"/>
      <c r="H103" s="184"/>
      <c r="I103" s="217"/>
      <c r="J103" s="184"/>
      <c r="K103" s="217"/>
      <c r="L103" s="184"/>
    </row>
    <row r="104" spans="1:12" ht="18.75" x14ac:dyDescent="0.4">
      <c r="A104" s="219"/>
      <c r="B104" s="219"/>
      <c r="C104" s="219"/>
      <c r="D104" s="216"/>
      <c r="E104" s="218"/>
      <c r="F104" s="23"/>
      <c r="G104" s="217"/>
      <c r="H104" s="184"/>
      <c r="I104" s="217"/>
      <c r="J104" s="184"/>
      <c r="K104" s="217"/>
      <c r="L104" s="184"/>
    </row>
    <row r="105" spans="1:12" ht="18.75" x14ac:dyDescent="0.4">
      <c r="A105" s="219"/>
      <c r="B105" s="219"/>
      <c r="C105" s="219"/>
      <c r="D105" s="216"/>
      <c r="E105" s="218"/>
      <c r="F105" s="23"/>
      <c r="G105" s="217"/>
      <c r="H105" s="184"/>
      <c r="I105" s="217"/>
      <c r="J105" s="184"/>
      <c r="K105" s="217"/>
      <c r="L105" s="184"/>
    </row>
    <row r="106" spans="1:12" ht="18.75" x14ac:dyDescent="0.4">
      <c r="A106" s="219"/>
      <c r="B106" s="219"/>
      <c r="C106" s="219"/>
      <c r="D106" s="216"/>
      <c r="E106" s="218"/>
      <c r="F106" s="23"/>
      <c r="G106" s="217"/>
      <c r="H106" s="184"/>
      <c r="I106" s="217"/>
      <c r="J106" s="184"/>
      <c r="K106" s="217"/>
      <c r="L106" s="184"/>
    </row>
    <row r="107" spans="1:12" ht="18.75" x14ac:dyDescent="0.4">
      <c r="A107" s="219"/>
      <c r="B107" s="219"/>
      <c r="C107" s="219"/>
      <c r="D107" s="216"/>
      <c r="E107" s="218"/>
      <c r="F107" s="23"/>
      <c r="G107" s="217"/>
      <c r="H107" s="184"/>
      <c r="I107" s="217"/>
      <c r="J107" s="184"/>
      <c r="K107" s="217"/>
      <c r="L107" s="184"/>
    </row>
    <row r="108" spans="1:12" ht="18.75" x14ac:dyDescent="0.4">
      <c r="A108" s="219"/>
      <c r="B108" s="219"/>
      <c r="C108" s="219"/>
      <c r="D108" s="216"/>
      <c r="E108" s="218"/>
      <c r="F108" s="23"/>
      <c r="G108" s="218"/>
      <c r="H108" s="10"/>
      <c r="I108" s="218"/>
      <c r="J108" s="10"/>
      <c r="K108" s="218"/>
      <c r="L108" s="10"/>
    </row>
    <row r="109" spans="1:12" x14ac:dyDescent="0.4">
      <c r="A109" s="131"/>
      <c r="B109" s="9"/>
      <c r="C109" s="9"/>
      <c r="D109" s="13"/>
      <c r="E109" s="13"/>
      <c r="F109" s="13"/>
      <c r="G109" s="13"/>
      <c r="H109" s="13"/>
      <c r="I109" s="9"/>
      <c r="J109" s="11"/>
      <c r="K109" s="9"/>
      <c r="L109" s="11"/>
    </row>
    <row r="110" spans="1:12" x14ac:dyDescent="0.4">
      <c r="A110" s="9"/>
      <c r="B110" s="9"/>
      <c r="C110" s="9"/>
      <c r="D110" s="13"/>
      <c r="E110" s="13"/>
      <c r="F110" s="13"/>
      <c r="G110" s="13"/>
      <c r="H110" s="13"/>
      <c r="I110" s="9"/>
      <c r="J110" s="11"/>
      <c r="K110" s="9"/>
      <c r="L110" s="11"/>
    </row>
    <row r="111" spans="1:12" x14ac:dyDescent="0.4">
      <c r="A111" s="13"/>
      <c r="B111" s="24" t="s">
        <v>145</v>
      </c>
      <c r="C111" s="13"/>
      <c r="D111" s="24"/>
      <c r="E111" s="13"/>
      <c r="G111" s="13"/>
      <c r="H111" s="24" t="s">
        <v>145</v>
      </c>
      <c r="I111" s="13"/>
      <c r="J111" s="13"/>
      <c r="K111" s="13"/>
      <c r="L111" s="13"/>
    </row>
    <row r="112" spans="1:12" x14ac:dyDescent="0.4">
      <c r="A112" s="13"/>
      <c r="B112" s="24"/>
      <c r="C112" s="13"/>
      <c r="D112" s="24"/>
      <c r="E112" s="13"/>
      <c r="F112" s="6">
        <v>9</v>
      </c>
      <c r="G112" s="13"/>
      <c r="H112" s="24"/>
      <c r="I112" s="13"/>
      <c r="J112" s="13"/>
      <c r="K112" s="13"/>
      <c r="L112" s="13"/>
    </row>
    <row r="113" spans="1:12" x14ac:dyDescent="0.4">
      <c r="B113" s="9"/>
      <c r="C113" s="9"/>
      <c r="D113" s="30"/>
      <c r="E113" s="30"/>
      <c r="F113" s="17"/>
      <c r="G113" s="30"/>
      <c r="H113" s="17"/>
      <c r="I113" s="9"/>
      <c r="J113" s="238" t="s">
        <v>338</v>
      </c>
      <c r="K113" s="238"/>
      <c r="L113" s="238"/>
    </row>
    <row r="114" spans="1:12" x14ac:dyDescent="0.4">
      <c r="A114" s="226" t="s">
        <v>131</v>
      </c>
      <c r="B114" s="222"/>
      <c r="C114" s="222"/>
      <c r="D114" s="222"/>
      <c r="E114" s="222"/>
      <c r="F114" s="222"/>
      <c r="G114" s="222"/>
      <c r="H114" s="222"/>
      <c r="I114" s="222"/>
      <c r="J114" s="222"/>
      <c r="K114" s="222"/>
      <c r="L114" s="222"/>
    </row>
    <row r="115" spans="1:12" x14ac:dyDescent="0.4">
      <c r="A115" s="222" t="s">
        <v>157</v>
      </c>
      <c r="B115" s="222"/>
      <c r="C115" s="222"/>
      <c r="D115" s="222"/>
      <c r="E115" s="222"/>
      <c r="F115" s="222"/>
      <c r="G115" s="222"/>
      <c r="H115" s="222"/>
      <c r="I115" s="222"/>
      <c r="J115" s="222"/>
      <c r="K115" s="222"/>
      <c r="L115" s="222"/>
    </row>
    <row r="116" spans="1:12" x14ac:dyDescent="0.4">
      <c r="A116" s="222" t="s">
        <v>376</v>
      </c>
      <c r="B116" s="222"/>
      <c r="C116" s="222"/>
      <c r="D116" s="222"/>
      <c r="E116" s="222"/>
      <c r="F116" s="222"/>
      <c r="G116" s="222"/>
      <c r="H116" s="222"/>
      <c r="I116" s="222"/>
      <c r="J116" s="222"/>
      <c r="K116" s="222"/>
      <c r="L116" s="222"/>
    </row>
    <row r="117" spans="1:12" x14ac:dyDescent="0.4">
      <c r="A117" s="9"/>
      <c r="B117" s="9"/>
      <c r="C117" s="26"/>
      <c r="F117" s="223" t="s">
        <v>132</v>
      </c>
      <c r="G117" s="223"/>
      <c r="H117" s="223"/>
      <c r="I117" s="223"/>
      <c r="J117" s="223"/>
      <c r="K117" s="223"/>
      <c r="L117" s="223"/>
    </row>
    <row r="118" spans="1:12" x14ac:dyDescent="0.4">
      <c r="A118" s="9"/>
      <c r="B118" s="9"/>
      <c r="C118" s="9" t="s">
        <v>4</v>
      </c>
      <c r="F118" s="237" t="s">
        <v>205</v>
      </c>
      <c r="G118" s="237"/>
      <c r="H118" s="237"/>
      <c r="J118" s="237" t="s">
        <v>206</v>
      </c>
      <c r="K118" s="237"/>
      <c r="L118" s="237"/>
    </row>
    <row r="119" spans="1:12" x14ac:dyDescent="0.4">
      <c r="A119" s="9"/>
      <c r="B119" s="9"/>
      <c r="C119" s="9"/>
      <c r="F119" s="237" t="s">
        <v>377</v>
      </c>
      <c r="G119" s="237"/>
      <c r="H119" s="237"/>
      <c r="I119" s="1"/>
      <c r="J119" s="237" t="str">
        <f>+F119</f>
        <v>For the three-month period ended June 30</v>
      </c>
      <c r="K119" s="237"/>
      <c r="L119" s="237"/>
    </row>
    <row r="120" spans="1:12" x14ac:dyDescent="0.4">
      <c r="A120" s="9"/>
      <c r="B120" s="9"/>
      <c r="C120" s="9"/>
      <c r="D120" s="183" t="s">
        <v>133</v>
      </c>
      <c r="F120" s="183">
        <v>2024</v>
      </c>
      <c r="H120" s="183">
        <v>2023</v>
      </c>
      <c r="J120" s="183">
        <f>+F120</f>
        <v>2024</v>
      </c>
      <c r="K120" s="6"/>
      <c r="L120" s="183">
        <f>+H120</f>
        <v>2023</v>
      </c>
    </row>
    <row r="121" spans="1:12" x14ac:dyDescent="0.4">
      <c r="A121" s="127" t="s">
        <v>158</v>
      </c>
      <c r="B121" s="9"/>
      <c r="C121" s="9"/>
      <c r="D121" s="13"/>
      <c r="E121" s="13"/>
      <c r="F121" s="10"/>
      <c r="G121" s="10"/>
      <c r="H121" s="10"/>
      <c r="I121" s="9"/>
      <c r="J121" s="11"/>
      <c r="K121" s="9"/>
      <c r="L121" s="11"/>
    </row>
    <row r="122" spans="1:12" x14ac:dyDescent="0.4">
      <c r="A122" s="9"/>
      <c r="B122" s="9" t="s">
        <v>225</v>
      </c>
      <c r="C122" s="9"/>
      <c r="D122" s="13"/>
      <c r="E122" s="13"/>
      <c r="F122" s="160">
        <v>4548974.1399999997</v>
      </c>
      <c r="G122" s="184"/>
      <c r="H122" s="160">
        <v>15081545.93</v>
      </c>
      <c r="I122" s="156"/>
      <c r="J122" s="21">
        <v>3959471.16</v>
      </c>
      <c r="K122" s="156"/>
      <c r="L122" s="21">
        <v>15212309.039999999</v>
      </c>
    </row>
    <row r="123" spans="1:12" x14ac:dyDescent="0.4">
      <c r="A123" s="9"/>
      <c r="B123" s="9" t="s">
        <v>315</v>
      </c>
      <c r="C123" s="9"/>
      <c r="D123" s="13"/>
      <c r="E123" s="13"/>
      <c r="F123" s="160">
        <v>0</v>
      </c>
      <c r="G123" s="184"/>
      <c r="H123" s="160">
        <v>2160347.87</v>
      </c>
      <c r="I123" s="156"/>
      <c r="J123" s="14">
        <v>0</v>
      </c>
      <c r="K123" s="156"/>
      <c r="L123" s="14">
        <v>2160347.87</v>
      </c>
    </row>
    <row r="124" spans="1:12" x14ac:dyDescent="0.4">
      <c r="A124" s="9"/>
      <c r="B124" s="9" t="s">
        <v>347</v>
      </c>
      <c r="C124" s="9"/>
      <c r="D124" s="13">
        <v>6</v>
      </c>
      <c r="E124" s="13"/>
      <c r="F124" s="160">
        <v>45674907.039999999</v>
      </c>
      <c r="G124" s="184"/>
      <c r="H124" s="160">
        <v>5423025.5700000003</v>
      </c>
      <c r="I124" s="156"/>
      <c r="J124" s="14">
        <v>15012.1</v>
      </c>
      <c r="K124" s="156"/>
      <c r="L124" s="14">
        <v>634.26</v>
      </c>
    </row>
    <row r="125" spans="1:12" x14ac:dyDescent="0.4">
      <c r="A125" s="9"/>
      <c r="B125" s="9" t="s">
        <v>378</v>
      </c>
      <c r="C125" s="9"/>
      <c r="D125" s="13"/>
      <c r="E125" s="13"/>
      <c r="F125" s="160">
        <v>4000000</v>
      </c>
      <c r="G125" s="184"/>
      <c r="H125" s="160">
        <v>5000000</v>
      </c>
      <c r="I125" s="156"/>
      <c r="J125" s="14">
        <v>4000000</v>
      </c>
      <c r="K125" s="156"/>
      <c r="L125" s="14">
        <v>5000000</v>
      </c>
    </row>
    <row r="126" spans="1:12" x14ac:dyDescent="0.4">
      <c r="A126" s="9"/>
      <c r="B126" s="9" t="s">
        <v>160</v>
      </c>
      <c r="C126" s="9"/>
      <c r="D126" s="13"/>
      <c r="E126" s="13"/>
      <c r="F126" s="160">
        <v>9959247.6400000006</v>
      </c>
      <c r="G126" s="184"/>
      <c r="H126" s="160">
        <v>10589911.720000001</v>
      </c>
      <c r="I126" s="156"/>
      <c r="J126" s="21">
        <v>25574446.079999998</v>
      </c>
      <c r="K126" s="156"/>
      <c r="L126" s="21">
        <v>24902407.93</v>
      </c>
    </row>
    <row r="127" spans="1:12" x14ac:dyDescent="0.4">
      <c r="A127" s="9"/>
      <c r="B127" s="9" t="s">
        <v>159</v>
      </c>
      <c r="C127" s="9"/>
      <c r="D127" s="13"/>
      <c r="E127" s="13"/>
      <c r="F127" s="166"/>
      <c r="G127" s="166"/>
      <c r="H127" s="166"/>
      <c r="I127" s="156"/>
      <c r="J127" s="14"/>
      <c r="K127" s="156"/>
      <c r="L127" s="14"/>
    </row>
    <row r="128" spans="1:12" x14ac:dyDescent="0.4">
      <c r="A128" s="9"/>
      <c r="B128" s="9"/>
      <c r="C128" s="9" t="s">
        <v>348</v>
      </c>
      <c r="D128" s="13">
        <v>11</v>
      </c>
      <c r="E128" s="13"/>
      <c r="F128" s="166">
        <v>0</v>
      </c>
      <c r="G128" s="166"/>
      <c r="H128" s="166">
        <v>3000100</v>
      </c>
      <c r="I128" s="156"/>
      <c r="J128" s="14">
        <v>0</v>
      </c>
      <c r="K128" s="156"/>
      <c r="L128" s="14">
        <v>3000100</v>
      </c>
    </row>
    <row r="129" spans="1:12" x14ac:dyDescent="0.4">
      <c r="A129" s="9"/>
      <c r="B129" s="9"/>
      <c r="C129" s="9" t="s">
        <v>349</v>
      </c>
      <c r="D129" s="13"/>
      <c r="E129" s="13"/>
      <c r="F129" s="14">
        <v>16027369.380000001</v>
      </c>
      <c r="G129" s="184"/>
      <c r="H129" s="14">
        <v>76675388.680000007</v>
      </c>
      <c r="I129" s="156"/>
      <c r="J129" s="14">
        <v>16027361.5</v>
      </c>
      <c r="K129" s="156"/>
      <c r="L129" s="14">
        <v>78014112.689999998</v>
      </c>
    </row>
    <row r="130" spans="1:12" x14ac:dyDescent="0.4">
      <c r="A130" s="9"/>
      <c r="B130" s="9"/>
      <c r="C130" s="9" t="s">
        <v>350</v>
      </c>
      <c r="D130" s="13">
        <v>6</v>
      </c>
      <c r="E130" s="13"/>
      <c r="F130" s="14">
        <v>3283151.03</v>
      </c>
      <c r="G130" s="184"/>
      <c r="H130" s="14">
        <v>0</v>
      </c>
      <c r="I130" s="156"/>
      <c r="J130" s="14">
        <v>0</v>
      </c>
      <c r="K130" s="156"/>
      <c r="L130" s="14">
        <v>7324.23</v>
      </c>
    </row>
    <row r="131" spans="1:12" x14ac:dyDescent="0.4">
      <c r="A131" s="9"/>
      <c r="B131" s="9"/>
      <c r="C131" s="9" t="s">
        <v>138</v>
      </c>
      <c r="D131" s="15"/>
      <c r="E131" s="15"/>
      <c r="F131" s="160">
        <v>431691.32</v>
      </c>
      <c r="G131" s="184"/>
      <c r="H131" s="160">
        <v>38846.75</v>
      </c>
      <c r="I131" s="156"/>
      <c r="J131" s="14">
        <v>431691.32</v>
      </c>
      <c r="K131" s="156"/>
      <c r="L131" s="14">
        <v>38846.519999999997</v>
      </c>
    </row>
    <row r="132" spans="1:12" x14ac:dyDescent="0.4">
      <c r="A132" s="9"/>
      <c r="B132" s="9"/>
      <c r="C132" s="9" t="s">
        <v>161</v>
      </c>
      <c r="D132" s="13"/>
      <c r="E132" s="13"/>
      <c r="F132" s="159">
        <f>SUM(F122:F131)</f>
        <v>83925340.549999997</v>
      </c>
      <c r="G132" s="184"/>
      <c r="H132" s="159">
        <f>SUM(H122:H131)</f>
        <v>117969166.52000001</v>
      </c>
      <c r="I132" s="156"/>
      <c r="J132" s="159">
        <f>SUM(J122:J131)</f>
        <v>50007982.159999996</v>
      </c>
      <c r="K132" s="156"/>
      <c r="L132" s="159">
        <f>SUM(L122:L131)</f>
        <v>128336082.53999999</v>
      </c>
    </row>
    <row r="133" spans="1:12" ht="9.75" customHeight="1" x14ac:dyDescent="0.4">
      <c r="A133" s="9"/>
      <c r="B133" s="9"/>
      <c r="C133" s="9"/>
      <c r="D133" s="13"/>
      <c r="E133" s="13"/>
      <c r="F133" s="184"/>
      <c r="G133" s="184"/>
      <c r="H133" s="184"/>
      <c r="I133" s="156"/>
      <c r="J133" s="184"/>
      <c r="K133" s="156"/>
      <c r="L133" s="184"/>
    </row>
    <row r="134" spans="1:12" x14ac:dyDescent="0.4">
      <c r="A134" s="9" t="s">
        <v>162</v>
      </c>
      <c r="B134" s="9"/>
      <c r="C134" s="9"/>
      <c r="D134" s="13"/>
      <c r="E134" s="13"/>
      <c r="F134" s="184"/>
      <c r="G134" s="184"/>
      <c r="H134" s="184"/>
      <c r="I134" s="156"/>
      <c r="J134" s="14"/>
      <c r="K134" s="156"/>
      <c r="L134" s="14"/>
    </row>
    <row r="135" spans="1:12" x14ac:dyDescent="0.4">
      <c r="A135" s="9"/>
      <c r="B135" s="9" t="s">
        <v>253</v>
      </c>
      <c r="C135" s="9"/>
      <c r="D135" s="13"/>
      <c r="E135" s="13"/>
      <c r="F135" s="184">
        <v>17325945.16</v>
      </c>
      <c r="G135" s="184"/>
      <c r="H135" s="184">
        <v>14488453.5</v>
      </c>
      <c r="I135" s="156"/>
      <c r="J135" s="14">
        <v>17106330.289999999</v>
      </c>
      <c r="K135" s="156"/>
      <c r="L135" s="14">
        <v>17565233.370000001</v>
      </c>
    </row>
    <row r="136" spans="1:12" x14ac:dyDescent="0.4">
      <c r="A136" s="9"/>
      <c r="B136" s="9" t="s">
        <v>212</v>
      </c>
      <c r="C136" s="9"/>
      <c r="D136" s="8"/>
      <c r="E136" s="8"/>
      <c r="F136" s="184">
        <v>23696510.59</v>
      </c>
      <c r="G136" s="184"/>
      <c r="H136" s="184">
        <v>22809739.449999999</v>
      </c>
      <c r="I136" s="156"/>
      <c r="J136" s="14">
        <v>18741016.579999998</v>
      </c>
      <c r="K136" s="156"/>
      <c r="L136" s="14">
        <v>16410632.029999999</v>
      </c>
    </row>
    <row r="137" spans="1:12" x14ac:dyDescent="0.4">
      <c r="A137" s="9"/>
      <c r="B137" s="9" t="s">
        <v>385</v>
      </c>
      <c r="C137" s="9"/>
      <c r="D137" s="8"/>
      <c r="E137" s="8"/>
      <c r="F137" s="184">
        <v>94560.26</v>
      </c>
      <c r="G137" s="184"/>
      <c r="H137" s="184">
        <v>0</v>
      </c>
      <c r="I137" s="156"/>
      <c r="J137" s="14">
        <v>0</v>
      </c>
      <c r="K137" s="156"/>
      <c r="L137" s="14">
        <v>0</v>
      </c>
    </row>
    <row r="138" spans="1:12" x14ac:dyDescent="0.4">
      <c r="A138" s="9"/>
      <c r="B138" s="9" t="s">
        <v>317</v>
      </c>
      <c r="C138" s="9"/>
      <c r="D138" s="13">
        <v>8.4</v>
      </c>
      <c r="E138" s="8"/>
      <c r="F138" s="184">
        <v>332221658.60000002</v>
      </c>
      <c r="G138" s="184"/>
      <c r="H138" s="184">
        <v>39527921.109999999</v>
      </c>
      <c r="I138" s="156"/>
      <c r="J138" s="14">
        <v>21386281.899999999</v>
      </c>
      <c r="K138" s="156"/>
      <c r="L138" s="14">
        <v>22393380.829999998</v>
      </c>
    </row>
    <row r="139" spans="1:12" x14ac:dyDescent="0.4">
      <c r="A139" s="9"/>
      <c r="B139" s="9" t="s">
        <v>369</v>
      </c>
      <c r="C139" s="9"/>
      <c r="D139" s="13">
        <v>6</v>
      </c>
      <c r="E139" s="8"/>
      <c r="F139" s="184">
        <v>7351931.3399999999</v>
      </c>
      <c r="G139" s="184"/>
      <c r="H139" s="184">
        <v>11110230.66</v>
      </c>
      <c r="I139" s="156"/>
      <c r="J139" s="14">
        <v>98.47</v>
      </c>
      <c r="K139" s="156"/>
      <c r="L139" s="14">
        <v>0.73</v>
      </c>
    </row>
    <row r="140" spans="1:12" x14ac:dyDescent="0.4">
      <c r="A140" s="9"/>
      <c r="B140" s="9" t="s">
        <v>322</v>
      </c>
      <c r="C140" s="9"/>
      <c r="D140" s="13">
        <v>6</v>
      </c>
      <c r="E140" s="8"/>
      <c r="F140" s="160">
        <v>96733262.349999994</v>
      </c>
      <c r="G140" s="184"/>
      <c r="H140" s="160">
        <v>38279682.710000001</v>
      </c>
      <c r="I140" s="156"/>
      <c r="J140" s="14">
        <v>10696.78</v>
      </c>
      <c r="K140" s="156"/>
      <c r="L140" s="14">
        <v>0</v>
      </c>
    </row>
    <row r="141" spans="1:12" x14ac:dyDescent="0.4">
      <c r="A141" s="9"/>
      <c r="B141" s="9"/>
      <c r="C141" s="9" t="s">
        <v>163</v>
      </c>
      <c r="D141" s="13"/>
      <c r="E141" s="13"/>
      <c r="F141" s="159">
        <f>SUM(F135:F140)</f>
        <v>477423868.29999995</v>
      </c>
      <c r="G141" s="160"/>
      <c r="H141" s="159">
        <f>SUM(H135:H140)</f>
        <v>126216027.43000001</v>
      </c>
      <c r="I141" s="14"/>
      <c r="J141" s="159">
        <f>SUM(J135:J140)</f>
        <v>57244424.019999996</v>
      </c>
      <c r="K141" s="14"/>
      <c r="L141" s="159">
        <f>SUM(L135:L140)</f>
        <v>56369246.959999993</v>
      </c>
    </row>
    <row r="142" spans="1:12" ht="7.5" customHeight="1" x14ac:dyDescent="0.4">
      <c r="A142" s="9"/>
      <c r="B142" s="9"/>
      <c r="C142" s="9"/>
      <c r="D142" s="13"/>
      <c r="E142" s="13"/>
      <c r="F142" s="184"/>
      <c r="G142" s="184"/>
      <c r="H142" s="184"/>
      <c r="I142" s="156"/>
      <c r="J142" s="14"/>
      <c r="K142" s="156"/>
      <c r="L142" s="14"/>
    </row>
    <row r="143" spans="1:12" x14ac:dyDescent="0.4">
      <c r="A143" s="9" t="s">
        <v>327</v>
      </c>
      <c r="B143" s="9"/>
      <c r="C143" s="9"/>
      <c r="D143" s="13"/>
      <c r="E143" s="13"/>
      <c r="F143" s="184">
        <f>+F132-F141</f>
        <v>-393498527.74999994</v>
      </c>
      <c r="G143" s="184"/>
      <c r="H143" s="184">
        <f>+H132-H141</f>
        <v>-8246860.9099999964</v>
      </c>
      <c r="I143" s="156"/>
      <c r="J143" s="184">
        <f>+J132-J141</f>
        <v>-7236441.8599999994</v>
      </c>
      <c r="K143" s="156"/>
      <c r="L143" s="184">
        <f>+L132-L141</f>
        <v>71966835.579999998</v>
      </c>
    </row>
    <row r="144" spans="1:12" x14ac:dyDescent="0.4">
      <c r="A144" s="9"/>
      <c r="B144" s="9" t="s">
        <v>213</v>
      </c>
      <c r="C144" s="9"/>
      <c r="D144" s="13"/>
      <c r="E144" s="13"/>
      <c r="F144" s="184">
        <v>2615088.59</v>
      </c>
      <c r="G144" s="184"/>
      <c r="H144" s="184">
        <v>2983299.26</v>
      </c>
      <c r="I144" s="156"/>
      <c r="J144" s="184">
        <v>2667301.7000000002</v>
      </c>
      <c r="K144" s="156"/>
      <c r="L144" s="184">
        <v>3170285.57</v>
      </c>
    </row>
    <row r="145" spans="1:12" x14ac:dyDescent="0.4">
      <c r="A145" s="9"/>
      <c r="B145" s="9" t="s">
        <v>351</v>
      </c>
      <c r="C145" s="9"/>
      <c r="D145" s="197">
        <v>10</v>
      </c>
      <c r="E145" s="8"/>
      <c r="F145" s="185">
        <v>-5508527.7400000002</v>
      </c>
      <c r="G145" s="184"/>
      <c r="H145" s="185">
        <v>0</v>
      </c>
      <c r="I145" s="156"/>
      <c r="J145" s="157">
        <v>-5508527.7400000002</v>
      </c>
      <c r="K145" s="156"/>
      <c r="L145" s="157">
        <v>0</v>
      </c>
    </row>
    <row r="146" spans="1:12" ht="6" customHeight="1" x14ac:dyDescent="0.4">
      <c r="A146" s="9"/>
      <c r="B146" s="9"/>
      <c r="C146" s="9"/>
      <c r="D146" s="13"/>
      <c r="E146" s="13"/>
      <c r="F146" s="184"/>
      <c r="G146" s="184"/>
      <c r="H146" s="184"/>
      <c r="I146" s="156"/>
      <c r="J146" s="14"/>
      <c r="K146" s="156"/>
      <c r="L146" s="14"/>
    </row>
    <row r="147" spans="1:12" x14ac:dyDescent="0.4">
      <c r="A147" s="9" t="s">
        <v>257</v>
      </c>
      <c r="B147" s="9"/>
      <c r="C147" s="9"/>
      <c r="D147" s="30"/>
      <c r="E147" s="30"/>
      <c r="F147" s="14">
        <f>+F143-F144+F145</f>
        <v>-401622144.07999992</v>
      </c>
      <c r="G147" s="160"/>
      <c r="H147" s="14">
        <f>+H143-H144+H145</f>
        <v>-11230160.169999996</v>
      </c>
      <c r="I147" s="156"/>
      <c r="J147" s="14">
        <f>+J143-J144+J145</f>
        <v>-15412271.299999999</v>
      </c>
      <c r="K147" s="156"/>
      <c r="L147" s="14">
        <f>+L143-L144+L145</f>
        <v>68796550.010000005</v>
      </c>
    </row>
    <row r="148" spans="1:12" x14ac:dyDescent="0.4">
      <c r="A148" s="9" t="s">
        <v>272</v>
      </c>
      <c r="B148" s="9"/>
      <c r="C148" s="9"/>
      <c r="D148" s="6">
        <v>17.2</v>
      </c>
      <c r="F148" s="168">
        <v>4371103.41</v>
      </c>
      <c r="G148" s="184"/>
      <c r="H148" s="168">
        <v>-4804056.05</v>
      </c>
      <c r="I148" s="156"/>
      <c r="J148" s="157">
        <v>2451972.9700000002</v>
      </c>
      <c r="K148" s="14"/>
      <c r="L148" s="157">
        <v>-6578699.4500000002</v>
      </c>
    </row>
    <row r="149" spans="1:12" ht="18.75" thickBot="1" x14ac:dyDescent="0.45">
      <c r="A149" s="18" t="s">
        <v>164</v>
      </c>
      <c r="B149" s="9"/>
      <c r="C149" s="9"/>
      <c r="D149" s="13"/>
      <c r="E149" s="13"/>
      <c r="F149" s="206">
        <f>SUM(F147:F148)</f>
        <v>-397251040.6699999</v>
      </c>
      <c r="G149" s="184"/>
      <c r="H149" s="206">
        <f>SUM(H147:H148)</f>
        <v>-16034216.219999995</v>
      </c>
      <c r="I149" s="156"/>
      <c r="J149" s="206">
        <f>SUM(J147:J148)</f>
        <v>-12960298.329999998</v>
      </c>
      <c r="K149" s="14"/>
      <c r="L149" s="206">
        <f>SUM(L147:L148)</f>
        <v>62217850.560000002</v>
      </c>
    </row>
    <row r="150" spans="1:12" ht="7.5" customHeight="1" thickTop="1" x14ac:dyDescent="0.4">
      <c r="A150" s="18"/>
      <c r="B150" s="9"/>
      <c r="C150" s="9"/>
      <c r="D150" s="13"/>
      <c r="E150" s="13"/>
      <c r="F150" s="184"/>
      <c r="G150" s="184"/>
      <c r="H150" s="184"/>
      <c r="I150" s="156"/>
      <c r="J150" s="184"/>
      <c r="K150" s="14"/>
      <c r="L150" s="184"/>
    </row>
    <row r="151" spans="1:12" ht="17.25" customHeight="1" x14ac:dyDescent="0.4">
      <c r="A151" s="201" t="s">
        <v>239</v>
      </c>
      <c r="B151" s="207"/>
      <c r="C151" s="201"/>
      <c r="D151" s="13"/>
      <c r="E151" s="13"/>
      <c r="F151" s="184"/>
      <c r="G151" s="184"/>
      <c r="H151" s="184"/>
      <c r="I151" s="156"/>
      <c r="J151" s="184"/>
      <c r="K151" s="14"/>
      <c r="L151" s="184"/>
    </row>
    <row r="152" spans="1:12" ht="18.75" x14ac:dyDescent="0.4">
      <c r="A152" s="201"/>
      <c r="B152" s="18" t="s">
        <v>240</v>
      </c>
      <c r="C152" s="201"/>
      <c r="D152" s="13"/>
      <c r="E152" s="13"/>
      <c r="F152" s="184">
        <f>+F149-F153</f>
        <v>-397152935.87999988</v>
      </c>
      <c r="G152" s="184"/>
      <c r="H152" s="184">
        <f>+H149-H153</f>
        <v>-15875312.529999996</v>
      </c>
      <c r="I152" s="184"/>
      <c r="J152" s="184">
        <f>J149</f>
        <v>-12960298.329999998</v>
      </c>
      <c r="K152" s="184"/>
      <c r="L152" s="184">
        <f>L149</f>
        <v>62217850.560000002</v>
      </c>
    </row>
    <row r="153" spans="1:12" ht="18.75" x14ac:dyDescent="0.4">
      <c r="A153" s="18"/>
      <c r="B153" s="9" t="s">
        <v>233</v>
      </c>
      <c r="C153" s="9"/>
      <c r="D153" s="13"/>
      <c r="E153" s="13"/>
      <c r="F153" s="185">
        <v>-98104.79</v>
      </c>
      <c r="G153" s="21"/>
      <c r="H153" s="185">
        <v>-158903.69</v>
      </c>
      <c r="I153" s="169"/>
      <c r="J153" s="170">
        <v>0</v>
      </c>
      <c r="K153" s="169"/>
      <c r="L153" s="170">
        <v>0</v>
      </c>
    </row>
    <row r="154" spans="1:12" ht="18.75" thickBot="1" x14ac:dyDescent="0.45">
      <c r="A154" s="9"/>
      <c r="B154" s="9"/>
      <c r="C154" s="9"/>
      <c r="D154" s="30"/>
      <c r="E154" s="30"/>
      <c r="F154" s="161">
        <f>SUM(F152:F153)</f>
        <v>-397251040.6699999</v>
      </c>
      <c r="G154" s="160"/>
      <c r="H154" s="161">
        <f>SUM(H152:H153)</f>
        <v>-16034216.219999995</v>
      </c>
      <c r="I154" s="156"/>
      <c r="J154" s="161">
        <f>SUM(J152:J153)</f>
        <v>-12960298.329999998</v>
      </c>
      <c r="K154" s="156"/>
      <c r="L154" s="161">
        <f>SUM(L152:L153)</f>
        <v>62217850.560000002</v>
      </c>
    </row>
    <row r="155" spans="1:12" ht="7.5" customHeight="1" thickTop="1" x14ac:dyDescent="0.4">
      <c r="A155" s="9"/>
      <c r="B155" s="9"/>
      <c r="C155" s="9"/>
      <c r="D155" s="13"/>
      <c r="E155" s="13"/>
      <c r="F155" s="184"/>
      <c r="G155" s="184"/>
      <c r="H155" s="184"/>
      <c r="I155" s="156"/>
      <c r="J155" s="21"/>
      <c r="K155" s="156"/>
      <c r="L155" s="21"/>
    </row>
    <row r="156" spans="1:12" x14ac:dyDescent="0.4">
      <c r="A156" s="18" t="s">
        <v>247</v>
      </c>
      <c r="B156" s="9"/>
      <c r="C156" s="9"/>
      <c r="D156" s="208"/>
      <c r="E156" s="13"/>
      <c r="F156" s="184"/>
      <c r="G156" s="184"/>
      <c r="H156" s="184"/>
      <c r="I156" s="156"/>
      <c r="J156" s="21"/>
      <c r="K156" s="156"/>
      <c r="L156" s="21"/>
    </row>
    <row r="157" spans="1:12" ht="18.75" thickBot="1" x14ac:dyDescent="0.45">
      <c r="A157" s="9"/>
      <c r="B157" s="18" t="s">
        <v>209</v>
      </c>
      <c r="C157" s="9"/>
      <c r="D157" s="13">
        <v>24</v>
      </c>
      <c r="E157" s="13"/>
      <c r="F157" s="179">
        <f>ROUND((+F152/F158),3)</f>
        <v>-4.2999999999999997E-2</v>
      </c>
      <c r="G157" s="209"/>
      <c r="H157" s="179">
        <f>ROUND((+H152/H158),3)</f>
        <v>-2E-3</v>
      </c>
      <c r="I157" s="210"/>
      <c r="J157" s="179">
        <f>ROUND((+J152/J158),3)</f>
        <v>-1E-3</v>
      </c>
      <c r="K157" s="210"/>
      <c r="L157" s="179">
        <f>ROUND((+L152/L158),3)</f>
        <v>7.0000000000000001E-3</v>
      </c>
    </row>
    <row r="158" spans="1:12" ht="19.5" thickTop="1" thickBot="1" x14ac:dyDescent="0.45">
      <c r="A158" s="9"/>
      <c r="B158" s="18" t="s">
        <v>165</v>
      </c>
      <c r="C158" s="9"/>
      <c r="D158" s="13"/>
      <c r="E158" s="13"/>
      <c r="F158" s="173">
        <v>9315208558</v>
      </c>
      <c r="G158" s="211"/>
      <c r="H158" s="173">
        <v>9315208558</v>
      </c>
      <c r="I158" s="212"/>
      <c r="J158" s="173">
        <v>9315208558</v>
      </c>
      <c r="K158" s="211"/>
      <c r="L158" s="173">
        <v>9315208558</v>
      </c>
    </row>
    <row r="159" spans="1:12" ht="7.5" customHeight="1" thickTop="1" x14ac:dyDescent="0.4">
      <c r="A159" s="9"/>
      <c r="B159" s="9"/>
      <c r="C159" s="9"/>
      <c r="D159" s="13"/>
      <c r="E159" s="13"/>
      <c r="F159" s="166"/>
      <c r="G159" s="166"/>
      <c r="H159" s="166"/>
      <c r="I159" s="156"/>
      <c r="J159" s="14"/>
      <c r="K159" s="156"/>
      <c r="L159" s="14"/>
    </row>
    <row r="160" spans="1:12" x14ac:dyDescent="0.4">
      <c r="A160" s="18" t="s">
        <v>248</v>
      </c>
      <c r="B160" s="9"/>
      <c r="C160" s="9"/>
      <c r="D160" s="208"/>
      <c r="E160" s="13"/>
      <c r="F160" s="184"/>
      <c r="G160" s="184"/>
      <c r="H160" s="184"/>
      <c r="I160" s="156"/>
      <c r="J160" s="21"/>
      <c r="K160" s="156"/>
      <c r="L160" s="21"/>
    </row>
    <row r="161" spans="1:12" ht="18.75" thickBot="1" x14ac:dyDescent="0.45">
      <c r="A161" s="9"/>
      <c r="B161" s="18" t="s">
        <v>209</v>
      </c>
      <c r="C161" s="9"/>
      <c r="D161" s="13">
        <v>24</v>
      </c>
      <c r="E161" s="13"/>
      <c r="F161" s="179">
        <f>ROUND((+F152/F162),3)</f>
        <v>-4.9000000000000002E-2</v>
      </c>
      <c r="G161" s="209"/>
      <c r="H161" s="179">
        <f>ROUND((+H152/H162),3)</f>
        <v>-2E-3</v>
      </c>
      <c r="I161" s="210"/>
      <c r="J161" s="179">
        <f>ROUND((+J152/J162),3)</f>
        <v>-2E-3</v>
      </c>
      <c r="K161" s="210"/>
      <c r="L161" s="179">
        <f>ROUND((+L152/L162),3)</f>
        <v>8.9999999999999993E-3</v>
      </c>
    </row>
    <row r="162" spans="1:12" ht="19.5" thickTop="1" thickBot="1" x14ac:dyDescent="0.45">
      <c r="A162" s="9"/>
      <c r="B162" s="18" t="s">
        <v>165</v>
      </c>
      <c r="C162" s="9"/>
      <c r="D162" s="13"/>
      <c r="E162" s="13"/>
      <c r="F162" s="173">
        <v>8050325473</v>
      </c>
      <c r="G162" s="213"/>
      <c r="H162" s="173">
        <v>7024915276</v>
      </c>
      <c r="I162" s="212"/>
      <c r="J162" s="173">
        <v>8050325473</v>
      </c>
      <c r="K162" s="211"/>
      <c r="L162" s="173">
        <v>7024915276</v>
      </c>
    </row>
    <row r="163" spans="1:12" ht="10.5" customHeight="1" thickTop="1" x14ac:dyDescent="0.4">
      <c r="A163" s="9"/>
      <c r="B163" s="9"/>
      <c r="C163" s="9"/>
      <c r="D163" s="13"/>
      <c r="E163" s="13"/>
      <c r="F163" s="13"/>
      <c r="G163" s="13"/>
      <c r="H163" s="13"/>
      <c r="I163" s="9"/>
      <c r="J163" s="11"/>
      <c r="K163" s="9"/>
      <c r="L163" s="11"/>
    </row>
    <row r="164" spans="1:12" x14ac:dyDescent="0.4">
      <c r="A164" s="15" t="str">
        <f>+'BS_Q2-67'!A124</f>
        <v>The accompanying interim notes to financial statements are an integral part of these interim financial statements.</v>
      </c>
      <c r="B164" s="9"/>
      <c r="C164" s="9"/>
      <c r="D164" s="13"/>
      <c r="E164" s="13"/>
      <c r="F164" s="13"/>
      <c r="G164" s="13"/>
      <c r="H164" s="13"/>
      <c r="I164" s="9"/>
      <c r="J164" s="11"/>
      <c r="K164" s="9"/>
      <c r="L164" s="11"/>
    </row>
    <row r="165" spans="1:12" x14ac:dyDescent="0.4">
      <c r="A165" s="9"/>
      <c r="B165" s="9"/>
      <c r="C165" s="9"/>
      <c r="D165" s="13"/>
      <c r="E165" s="13"/>
      <c r="F165" s="13"/>
      <c r="G165" s="13"/>
      <c r="H165" s="13"/>
      <c r="I165" s="9"/>
      <c r="J165" s="11"/>
      <c r="K165" s="9"/>
      <c r="L165" s="11"/>
    </row>
    <row r="166" spans="1:12" x14ac:dyDescent="0.4">
      <c r="A166" s="13"/>
      <c r="B166" s="24" t="s">
        <v>145</v>
      </c>
      <c r="C166" s="13"/>
      <c r="D166" s="24"/>
      <c r="E166" s="13"/>
      <c r="G166" s="13"/>
      <c r="H166" s="24" t="s">
        <v>145</v>
      </c>
      <c r="I166" s="13"/>
      <c r="J166" s="13"/>
      <c r="K166" s="13"/>
      <c r="L166" s="13"/>
    </row>
    <row r="167" spans="1:12" x14ac:dyDescent="0.4">
      <c r="A167" s="221">
        <v>6</v>
      </c>
      <c r="B167" s="221"/>
      <c r="C167" s="221"/>
      <c r="D167" s="221"/>
      <c r="E167" s="221"/>
      <c r="F167" s="221"/>
      <c r="G167" s="221"/>
      <c r="H167" s="221"/>
      <c r="I167" s="221"/>
      <c r="J167" s="221"/>
      <c r="K167" s="221"/>
      <c r="L167" s="221"/>
    </row>
    <row r="168" spans="1:12" x14ac:dyDescent="0.4">
      <c r="B168" s="9"/>
      <c r="C168" s="9"/>
      <c r="D168" s="30"/>
      <c r="E168" s="30"/>
      <c r="F168" s="17"/>
      <c r="G168" s="30"/>
      <c r="H168" s="17"/>
      <c r="I168" s="9"/>
      <c r="J168" s="17"/>
      <c r="K168" s="17"/>
      <c r="L168" s="194"/>
    </row>
    <row r="169" spans="1:12" x14ac:dyDescent="0.4">
      <c r="A169" s="9"/>
      <c r="B169" s="9"/>
      <c r="C169" s="9"/>
      <c r="D169" s="30"/>
      <c r="E169" s="30"/>
      <c r="F169" s="17"/>
      <c r="G169" s="30"/>
      <c r="H169" s="17"/>
      <c r="I169" s="9"/>
      <c r="J169" s="238" t="s">
        <v>338</v>
      </c>
      <c r="K169" s="238"/>
      <c r="L169" s="238"/>
    </row>
    <row r="170" spans="1:12" x14ac:dyDescent="0.4">
      <c r="A170" s="222" t="str">
        <f>A114</f>
        <v>THE BROOKER GROUP PUBLIC COMPANY LIMITED AND ITS SUBSIDIARIES</v>
      </c>
      <c r="B170" s="222"/>
      <c r="C170" s="222"/>
      <c r="D170" s="222"/>
      <c r="E170" s="222"/>
      <c r="F170" s="222"/>
      <c r="G170" s="222"/>
      <c r="H170" s="222"/>
      <c r="I170" s="222"/>
      <c r="J170" s="222"/>
      <c r="K170" s="222"/>
      <c r="L170" s="222"/>
    </row>
    <row r="171" spans="1:12" x14ac:dyDescent="0.4">
      <c r="A171" s="222" t="s">
        <v>226</v>
      </c>
      <c r="B171" s="222"/>
      <c r="C171" s="222"/>
      <c r="D171" s="222"/>
      <c r="E171" s="222"/>
      <c r="F171" s="222"/>
      <c r="G171" s="222"/>
      <c r="H171" s="222"/>
      <c r="I171" s="222"/>
      <c r="J171" s="222"/>
      <c r="K171" s="222"/>
      <c r="L171" s="222"/>
    </row>
    <row r="172" spans="1:12" x14ac:dyDescent="0.4">
      <c r="A172" s="222" t="str">
        <f>A116</f>
        <v>FOR  THE THREE MONTH PERIOD ENDED JUNE 30, 2024</v>
      </c>
      <c r="B172" s="222"/>
      <c r="C172" s="222"/>
      <c r="D172" s="222"/>
      <c r="E172" s="222"/>
      <c r="F172" s="222"/>
      <c r="G172" s="222"/>
      <c r="H172" s="222"/>
      <c r="I172" s="222"/>
      <c r="J172" s="222"/>
      <c r="K172" s="222"/>
      <c r="L172" s="222"/>
    </row>
    <row r="173" spans="1:12" x14ac:dyDescent="0.4">
      <c r="A173" s="9"/>
      <c r="B173" s="9"/>
      <c r="C173" s="26"/>
      <c r="F173" s="223" t="s">
        <v>132</v>
      </c>
      <c r="G173" s="223"/>
      <c r="H173" s="223"/>
      <c r="I173" s="223"/>
      <c r="J173" s="223"/>
      <c r="K173" s="223"/>
      <c r="L173" s="223"/>
    </row>
    <row r="174" spans="1:12" x14ac:dyDescent="0.4">
      <c r="A174" s="9"/>
      <c r="B174" s="9"/>
      <c r="C174" s="9" t="s">
        <v>4</v>
      </c>
      <c r="F174" s="237" t="s">
        <v>205</v>
      </c>
      <c r="G174" s="237"/>
      <c r="H174" s="237"/>
      <c r="J174" s="237" t="s">
        <v>206</v>
      </c>
      <c r="K174" s="237"/>
      <c r="L174" s="237"/>
    </row>
    <row r="175" spans="1:12" x14ac:dyDescent="0.4">
      <c r="A175" s="9"/>
      <c r="B175" s="9"/>
      <c r="C175" s="9"/>
      <c r="F175" s="237" t="str">
        <f>+F119</f>
        <v>For the three-month period ended June 30</v>
      </c>
      <c r="G175" s="237"/>
      <c r="H175" s="237"/>
      <c r="I175" s="1"/>
      <c r="J175" s="237" t="str">
        <f>+J119</f>
        <v>For the three-month period ended June 30</v>
      </c>
      <c r="K175" s="237"/>
      <c r="L175" s="237"/>
    </row>
    <row r="176" spans="1:12" x14ac:dyDescent="0.4">
      <c r="A176" s="9"/>
      <c r="B176" s="9"/>
      <c r="C176" s="9"/>
      <c r="D176" s="183" t="s">
        <v>133</v>
      </c>
      <c r="F176" s="183">
        <f>+F120</f>
        <v>2024</v>
      </c>
      <c r="H176" s="183">
        <f>+H120</f>
        <v>2023</v>
      </c>
      <c r="J176" s="183">
        <f>+J120</f>
        <v>2024</v>
      </c>
      <c r="K176" s="6"/>
      <c r="L176" s="183">
        <f>+L120</f>
        <v>2023</v>
      </c>
    </row>
    <row r="177" spans="1:12" x14ac:dyDescent="0.4">
      <c r="A177" s="127"/>
      <c r="B177" s="9"/>
      <c r="C177" s="9"/>
      <c r="D177" s="13"/>
      <c r="E177" s="13"/>
      <c r="F177" s="10"/>
      <c r="G177" s="10"/>
      <c r="H177" s="8"/>
      <c r="I177" s="9"/>
      <c r="J177" s="11"/>
      <c r="K177" s="9"/>
      <c r="L177" s="8"/>
    </row>
    <row r="178" spans="1:12" x14ac:dyDescent="0.4">
      <c r="A178" s="9" t="s">
        <v>334</v>
      </c>
      <c r="B178" s="9"/>
      <c r="C178" s="9"/>
      <c r="D178" s="13"/>
      <c r="E178" s="13"/>
      <c r="F178" s="168">
        <f>+F149</f>
        <v>-397251040.6699999</v>
      </c>
      <c r="G178" s="184"/>
      <c r="H178" s="168">
        <f>+H149</f>
        <v>-16034216.219999995</v>
      </c>
      <c r="I178" s="156"/>
      <c r="J178" s="168">
        <f>+J149</f>
        <v>-12960298.329999998</v>
      </c>
      <c r="K178" s="156"/>
      <c r="L178" s="168">
        <f>+L149</f>
        <v>62217850.560000002</v>
      </c>
    </row>
    <row r="179" spans="1:12" x14ac:dyDescent="0.4">
      <c r="A179" s="9"/>
      <c r="B179" s="9"/>
      <c r="C179" s="9"/>
      <c r="D179" s="13"/>
      <c r="E179" s="13"/>
      <c r="F179" s="160"/>
      <c r="G179" s="184"/>
      <c r="H179" s="160"/>
      <c r="I179" s="156"/>
      <c r="J179" s="160"/>
      <c r="K179" s="156"/>
      <c r="L179" s="160"/>
    </row>
    <row r="180" spans="1:12" x14ac:dyDescent="0.4">
      <c r="A180" s="9" t="s">
        <v>241</v>
      </c>
      <c r="B180" s="9"/>
      <c r="C180" s="9"/>
      <c r="D180" s="13"/>
      <c r="E180" s="13"/>
      <c r="F180" s="160"/>
      <c r="G180" s="184"/>
      <c r="H180" s="160"/>
      <c r="I180" s="156"/>
      <c r="J180" s="21"/>
      <c r="K180" s="156"/>
      <c r="L180" s="21"/>
    </row>
    <row r="181" spans="1:12" x14ac:dyDescent="0.4">
      <c r="A181" s="9" t="s">
        <v>292</v>
      </c>
      <c r="B181" s="214"/>
      <c r="C181" s="214"/>
      <c r="D181" s="13"/>
      <c r="E181" s="13"/>
      <c r="F181" s="23"/>
      <c r="G181" s="184"/>
      <c r="H181" s="3"/>
      <c r="J181" s="3"/>
      <c r="L181" s="3"/>
    </row>
    <row r="182" spans="1:12" x14ac:dyDescent="0.4">
      <c r="A182" s="214"/>
      <c r="B182" s="9" t="s">
        <v>293</v>
      </c>
      <c r="C182" s="214"/>
      <c r="D182" s="13"/>
      <c r="E182" s="13"/>
      <c r="F182" s="23"/>
      <c r="G182" s="184"/>
      <c r="H182" s="23"/>
      <c r="I182" s="156"/>
      <c r="J182" s="21"/>
      <c r="K182" s="156"/>
      <c r="L182" s="21"/>
    </row>
    <row r="183" spans="1:12" x14ac:dyDescent="0.4">
      <c r="A183" s="9"/>
      <c r="B183" s="215" t="s">
        <v>266</v>
      </c>
      <c r="C183" s="9"/>
      <c r="D183" s="13"/>
      <c r="E183" s="13"/>
      <c r="F183" s="23">
        <v>-11786189.619999999</v>
      </c>
      <c r="G183" s="184"/>
      <c r="H183" s="23">
        <v>555462.51</v>
      </c>
      <c r="I183" s="156"/>
      <c r="J183" s="21">
        <v>0</v>
      </c>
      <c r="K183" s="156"/>
      <c r="L183" s="21">
        <v>0</v>
      </c>
    </row>
    <row r="184" spans="1:12" hidden="1" x14ac:dyDescent="0.4">
      <c r="A184" s="9"/>
      <c r="B184" s="215"/>
      <c r="C184" s="9"/>
      <c r="D184" s="13"/>
      <c r="E184" s="13"/>
      <c r="F184" s="23"/>
      <c r="G184" s="184"/>
      <c r="H184" s="23"/>
      <c r="I184" s="156"/>
      <c r="J184" s="21"/>
      <c r="K184" s="156"/>
      <c r="L184" s="21"/>
    </row>
    <row r="185" spans="1:12" hidden="1" x14ac:dyDescent="0.4">
      <c r="A185" s="9" t="s">
        <v>294</v>
      </c>
      <c r="B185" s="214"/>
      <c r="C185" s="9"/>
      <c r="D185" s="13"/>
      <c r="E185" s="13"/>
      <c r="F185" s="23"/>
      <c r="G185" s="184"/>
      <c r="H185" s="23"/>
      <c r="I185" s="156"/>
      <c r="J185" s="21"/>
      <c r="K185" s="156"/>
      <c r="L185" s="21"/>
    </row>
    <row r="186" spans="1:12" hidden="1" x14ac:dyDescent="0.4">
      <c r="A186" s="214"/>
      <c r="B186" s="9" t="s">
        <v>293</v>
      </c>
      <c r="C186" s="9"/>
      <c r="D186" s="13"/>
      <c r="E186" s="13"/>
      <c r="F186" s="23"/>
      <c r="G186" s="184"/>
      <c r="H186" s="23"/>
      <c r="I186" s="156"/>
      <c r="J186" s="21"/>
      <c r="K186" s="156"/>
      <c r="L186" s="21"/>
    </row>
    <row r="187" spans="1:12" hidden="1" x14ac:dyDescent="0.4">
      <c r="A187" s="9"/>
      <c r="B187" s="9" t="s">
        <v>295</v>
      </c>
      <c r="C187" s="9"/>
      <c r="D187" s="13">
        <v>21</v>
      </c>
      <c r="E187" s="13"/>
      <c r="F187" s="23">
        <v>0</v>
      </c>
      <c r="G187" s="184"/>
      <c r="H187" s="23">
        <v>0</v>
      </c>
      <c r="I187" s="156"/>
      <c r="J187" s="21">
        <v>0</v>
      </c>
      <c r="K187" s="156"/>
      <c r="L187" s="21">
        <v>0</v>
      </c>
    </row>
    <row r="188" spans="1:12" hidden="1" x14ac:dyDescent="0.4">
      <c r="A188" s="9"/>
      <c r="B188" s="9" t="s">
        <v>296</v>
      </c>
      <c r="C188" s="9"/>
      <c r="D188" s="13"/>
      <c r="E188" s="13"/>
      <c r="F188" s="168">
        <v>0</v>
      </c>
      <c r="G188" s="184"/>
      <c r="H188" s="168">
        <v>0</v>
      </c>
      <c r="I188" s="156"/>
      <c r="J188" s="157">
        <v>0</v>
      </c>
      <c r="K188" s="156"/>
      <c r="L188" s="157">
        <v>0</v>
      </c>
    </row>
    <row r="189" spans="1:12" x14ac:dyDescent="0.4">
      <c r="A189" s="9" t="s">
        <v>341</v>
      </c>
      <c r="B189" s="9"/>
      <c r="C189" s="9"/>
      <c r="D189" s="13"/>
      <c r="E189" s="13"/>
      <c r="F189" s="171">
        <f>SUM(F181:F188)</f>
        <v>-11786189.619999999</v>
      </c>
      <c r="G189" s="184"/>
      <c r="H189" s="171">
        <f>SUM(H182:H188)</f>
        <v>555462.51</v>
      </c>
      <c r="I189" s="156"/>
      <c r="J189" s="171">
        <f>SUM(J182:J188)</f>
        <v>0</v>
      </c>
      <c r="K189" s="156"/>
      <c r="L189" s="171">
        <f>SUM(L182:L188)</f>
        <v>0</v>
      </c>
    </row>
    <row r="190" spans="1:12" x14ac:dyDescent="0.4">
      <c r="A190" s="9"/>
      <c r="B190" s="9"/>
      <c r="C190" s="9"/>
      <c r="D190" s="13"/>
      <c r="E190" s="13"/>
      <c r="F190" s="160"/>
      <c r="G190" s="184"/>
      <c r="H190" s="160"/>
      <c r="I190" s="156"/>
      <c r="J190" s="14"/>
      <c r="K190" s="156"/>
      <c r="L190" s="14"/>
    </row>
    <row r="191" spans="1:12" ht="18.75" thickBot="1" x14ac:dyDescent="0.45">
      <c r="A191" s="9" t="s">
        <v>333</v>
      </c>
      <c r="B191" s="9"/>
      <c r="C191" s="9"/>
      <c r="D191" s="13"/>
      <c r="E191" s="13"/>
      <c r="F191" s="167">
        <f>+F178+F189</f>
        <v>-409037230.2899999</v>
      </c>
      <c r="G191" s="184"/>
      <c r="H191" s="167">
        <f>+H178+H189</f>
        <v>-15478753.709999995</v>
      </c>
      <c r="I191" s="156"/>
      <c r="J191" s="167">
        <f>+J178+J189</f>
        <v>-12960298.329999998</v>
      </c>
      <c r="K191" s="156"/>
      <c r="L191" s="167">
        <f>+L178+L189</f>
        <v>62217850.560000002</v>
      </c>
    </row>
    <row r="192" spans="1:12" ht="18.75" thickTop="1" x14ac:dyDescent="0.4">
      <c r="A192" s="9"/>
      <c r="B192" s="9"/>
      <c r="C192" s="9"/>
      <c r="D192" s="13"/>
      <c r="E192" s="13"/>
      <c r="F192" s="166"/>
      <c r="G192" s="166"/>
      <c r="H192" s="166"/>
      <c r="I192" s="156"/>
      <c r="J192" s="14"/>
      <c r="K192" s="156"/>
      <c r="L192" s="14"/>
    </row>
    <row r="193" spans="1:12" ht="18.75" x14ac:dyDescent="0.4">
      <c r="A193" s="18" t="s">
        <v>242</v>
      </c>
      <c r="B193" s="18"/>
      <c r="C193" s="18"/>
      <c r="D193" s="216"/>
      <c r="E193" s="148"/>
      <c r="F193" s="170"/>
      <c r="G193" s="217"/>
      <c r="H193" s="170"/>
      <c r="I193" s="169"/>
      <c r="J193" s="170"/>
      <c r="K193" s="217"/>
      <c r="L193" s="217"/>
    </row>
    <row r="194" spans="1:12" ht="18.75" x14ac:dyDescent="0.4">
      <c r="A194" s="18"/>
      <c r="B194" s="18" t="s">
        <v>240</v>
      </c>
      <c r="C194" s="18"/>
      <c r="D194" s="216"/>
      <c r="E194" s="218">
        <v>852812933</v>
      </c>
      <c r="F194" s="23">
        <f>+F191-F195</f>
        <v>-408939125.49999988</v>
      </c>
      <c r="G194" s="184"/>
      <c r="H194" s="23">
        <f>+H191-H195</f>
        <v>-15319850.019999996</v>
      </c>
      <c r="I194" s="184"/>
      <c r="J194" s="23">
        <f>+J191-J195</f>
        <v>-12960298.329999998</v>
      </c>
      <c r="K194" s="184"/>
      <c r="L194" s="23">
        <f>+L191-L195</f>
        <v>62217850.560000002</v>
      </c>
    </row>
    <row r="195" spans="1:12" ht="18.75" x14ac:dyDescent="0.4">
      <c r="A195" s="18"/>
      <c r="B195" s="9" t="s">
        <v>233</v>
      </c>
      <c r="C195" s="9"/>
      <c r="D195" s="216"/>
      <c r="E195" s="218">
        <v>-1541152</v>
      </c>
      <c r="F195" s="23">
        <f>+F153</f>
        <v>-98104.79</v>
      </c>
      <c r="G195" s="21"/>
      <c r="H195" s="23">
        <f>+H153</f>
        <v>-158903.69</v>
      </c>
      <c r="I195" s="169"/>
      <c r="J195" s="23">
        <f>+J153</f>
        <v>0</v>
      </c>
      <c r="K195" s="169"/>
      <c r="L195" s="23">
        <f>+L153</f>
        <v>0</v>
      </c>
    </row>
    <row r="196" spans="1:12" ht="19.5" thickBot="1" x14ac:dyDescent="0.45">
      <c r="A196" s="219"/>
      <c r="B196" s="219"/>
      <c r="C196" s="219"/>
      <c r="D196" s="216"/>
      <c r="E196" s="218"/>
      <c r="F196" s="172">
        <f>SUM(F194:F195)</f>
        <v>-409037230.2899999</v>
      </c>
      <c r="G196" s="217"/>
      <c r="H196" s="206">
        <f>SUM(H194:H195)</f>
        <v>-15478753.709999995</v>
      </c>
      <c r="I196" s="217"/>
      <c r="J196" s="172">
        <f>SUM(J194:J195)</f>
        <v>-12960298.329999998</v>
      </c>
      <c r="K196" s="217"/>
      <c r="L196" s="206">
        <f>SUM(L194:L195)</f>
        <v>62217850.560000002</v>
      </c>
    </row>
    <row r="197" spans="1:12" ht="19.5" thickTop="1" x14ac:dyDescent="0.4">
      <c r="A197" s="219"/>
      <c r="B197" s="219"/>
      <c r="C197" s="219"/>
      <c r="D197" s="216"/>
      <c r="E197" s="218"/>
      <c r="F197" s="23"/>
      <c r="G197" s="217"/>
      <c r="H197" s="184"/>
      <c r="I197" s="217"/>
      <c r="J197" s="184"/>
      <c r="K197" s="217"/>
      <c r="L197" s="184"/>
    </row>
    <row r="198" spans="1:12" ht="18.75" x14ac:dyDescent="0.4">
      <c r="A198" s="15" t="str">
        <f>+A164</f>
        <v>The accompanying interim notes to financial statements are an integral part of these interim financial statements.</v>
      </c>
      <c r="B198" s="219"/>
      <c r="C198" s="219"/>
      <c r="D198" s="216"/>
      <c r="E198" s="218"/>
      <c r="F198" s="23"/>
      <c r="G198" s="217"/>
      <c r="H198" s="184"/>
      <c r="I198" s="217"/>
      <c r="J198" s="184"/>
      <c r="K198" s="217"/>
      <c r="L198" s="184"/>
    </row>
    <row r="199" spans="1:12" ht="18.75" x14ac:dyDescent="0.4">
      <c r="A199" s="219"/>
      <c r="B199" s="219"/>
      <c r="C199" s="219"/>
      <c r="D199" s="216"/>
      <c r="E199" s="218"/>
      <c r="F199" s="23"/>
      <c r="G199" s="217"/>
      <c r="H199" s="184"/>
      <c r="I199" s="217"/>
      <c r="J199" s="184"/>
      <c r="K199" s="217"/>
      <c r="L199" s="184"/>
    </row>
    <row r="200" spans="1:12" ht="18.75" x14ac:dyDescent="0.4">
      <c r="A200" s="219"/>
      <c r="B200" s="219"/>
      <c r="C200" s="219"/>
      <c r="D200" s="216"/>
      <c r="E200" s="218"/>
      <c r="F200" s="23"/>
      <c r="G200" s="217"/>
      <c r="H200" s="184"/>
      <c r="I200" s="217"/>
      <c r="J200" s="184"/>
      <c r="K200" s="217"/>
      <c r="L200" s="184"/>
    </row>
    <row r="201" spans="1:12" ht="18.75" x14ac:dyDescent="0.4">
      <c r="A201" s="219"/>
      <c r="B201" s="219"/>
      <c r="C201" s="219"/>
      <c r="D201" s="216"/>
      <c r="E201" s="218"/>
      <c r="F201" s="23"/>
      <c r="G201" s="217"/>
      <c r="H201" s="184"/>
      <c r="I201" s="217"/>
      <c r="J201" s="184"/>
      <c r="K201" s="217"/>
      <c r="L201" s="184"/>
    </row>
    <row r="202" spans="1:12" ht="18.75" x14ac:dyDescent="0.4">
      <c r="A202" s="219"/>
      <c r="B202" s="219"/>
      <c r="C202" s="219"/>
      <c r="D202" s="216"/>
      <c r="E202" s="218"/>
      <c r="F202" s="23"/>
      <c r="G202" s="217"/>
      <c r="H202" s="184"/>
      <c r="I202" s="217"/>
      <c r="J202" s="184"/>
      <c r="K202" s="217"/>
      <c r="L202" s="184"/>
    </row>
    <row r="203" spans="1:12" ht="18.75" x14ac:dyDescent="0.4">
      <c r="A203" s="219"/>
      <c r="B203" s="219"/>
      <c r="C203" s="219"/>
      <c r="D203" s="216"/>
      <c r="E203" s="218"/>
      <c r="F203" s="23"/>
      <c r="G203" s="217"/>
      <c r="H203" s="184"/>
      <c r="I203" s="217"/>
      <c r="J203" s="184"/>
      <c r="K203" s="217"/>
      <c r="L203" s="184"/>
    </row>
    <row r="204" spans="1:12" ht="18.75" x14ac:dyDescent="0.4">
      <c r="A204" s="219"/>
      <c r="B204" s="219"/>
      <c r="C204" s="219"/>
      <c r="D204" s="216"/>
      <c r="E204" s="218"/>
      <c r="F204" s="23"/>
      <c r="G204" s="217"/>
      <c r="H204" s="184"/>
      <c r="I204" s="217"/>
      <c r="J204" s="184"/>
      <c r="K204" s="217"/>
      <c r="L204" s="184"/>
    </row>
    <row r="205" spans="1:12" ht="18.75" x14ac:dyDescent="0.4">
      <c r="A205" s="219"/>
      <c r="B205" s="219"/>
      <c r="C205" s="219"/>
      <c r="D205" s="216"/>
      <c r="E205" s="218"/>
      <c r="F205" s="23"/>
      <c r="G205" s="217"/>
      <c r="H205" s="184"/>
      <c r="I205" s="217"/>
      <c r="J205" s="184"/>
      <c r="K205" s="217"/>
      <c r="L205" s="184"/>
    </row>
    <row r="206" spans="1:12" ht="18.75" x14ac:dyDescent="0.4">
      <c r="A206" s="219"/>
      <c r="B206" s="219"/>
      <c r="C206" s="219"/>
      <c r="D206" s="216"/>
      <c r="E206" s="218"/>
      <c r="F206" s="23"/>
      <c r="G206" s="217"/>
      <c r="H206" s="184"/>
      <c r="I206" s="217"/>
      <c r="J206" s="184"/>
      <c r="K206" s="217"/>
      <c r="L206" s="184"/>
    </row>
    <row r="207" spans="1:12" ht="18.75" x14ac:dyDescent="0.4">
      <c r="A207" s="219"/>
      <c r="B207" s="219"/>
      <c r="C207" s="219"/>
      <c r="D207" s="216"/>
      <c r="E207" s="218"/>
      <c r="F207" s="23"/>
      <c r="G207" s="217"/>
      <c r="H207" s="184"/>
      <c r="I207" s="217"/>
      <c r="J207" s="184"/>
      <c r="K207" s="217"/>
      <c r="L207" s="184"/>
    </row>
    <row r="208" spans="1:12" ht="18.75" x14ac:dyDescent="0.4">
      <c r="A208" s="219"/>
      <c r="B208" s="219"/>
      <c r="C208" s="219"/>
      <c r="D208" s="216"/>
      <c r="E208" s="218"/>
      <c r="F208" s="23"/>
      <c r="G208" s="217"/>
      <c r="H208" s="184"/>
      <c r="I208" s="217"/>
      <c r="J208" s="184"/>
      <c r="K208" s="217"/>
      <c r="L208" s="184"/>
    </row>
    <row r="209" spans="1:12" ht="18.75" x14ac:dyDescent="0.4">
      <c r="A209" s="219"/>
      <c r="B209" s="219"/>
      <c r="C209" s="219"/>
      <c r="D209" s="216"/>
      <c r="E209" s="218"/>
      <c r="F209" s="23"/>
      <c r="G209" s="217"/>
      <c r="H209" s="184"/>
      <c r="I209" s="217"/>
      <c r="J209" s="184"/>
      <c r="K209" s="217"/>
      <c r="L209" s="184"/>
    </row>
    <row r="210" spans="1:12" ht="18.75" x14ac:dyDescent="0.4">
      <c r="A210" s="219"/>
      <c r="B210" s="219"/>
      <c r="C210" s="219"/>
      <c r="D210" s="216"/>
      <c r="E210" s="218"/>
      <c r="F210" s="23"/>
      <c r="G210" s="217"/>
      <c r="H210" s="184"/>
      <c r="I210" s="217"/>
      <c r="J210" s="184"/>
      <c r="K210" s="217"/>
      <c r="L210" s="184"/>
    </row>
    <row r="211" spans="1:12" ht="18.75" x14ac:dyDescent="0.4">
      <c r="A211" s="219"/>
      <c r="B211" s="219"/>
      <c r="C211" s="219"/>
      <c r="D211" s="216"/>
      <c r="E211" s="218"/>
      <c r="F211" s="23"/>
      <c r="G211" s="217"/>
      <c r="H211" s="184"/>
      <c r="I211" s="217"/>
      <c r="J211" s="184"/>
      <c r="K211" s="217"/>
      <c r="L211" s="184"/>
    </row>
    <row r="212" spans="1:12" ht="18.75" x14ac:dyDescent="0.4">
      <c r="A212" s="219"/>
      <c r="B212" s="219"/>
      <c r="C212" s="219"/>
      <c r="D212" s="216"/>
      <c r="E212" s="218"/>
      <c r="F212" s="23"/>
      <c r="G212" s="217"/>
      <c r="H212" s="184"/>
      <c r="I212" s="217"/>
      <c r="J212" s="184"/>
      <c r="K212" s="217"/>
      <c r="L212" s="184"/>
    </row>
    <row r="213" spans="1:12" ht="18.75" x14ac:dyDescent="0.4">
      <c r="A213" s="219"/>
      <c r="B213" s="219"/>
      <c r="C213" s="219"/>
      <c r="D213" s="216"/>
      <c r="E213" s="218"/>
      <c r="F213" s="23"/>
      <c r="G213" s="217"/>
      <c r="H213" s="184"/>
      <c r="I213" s="217"/>
      <c r="J213" s="184"/>
      <c r="K213" s="217"/>
      <c r="L213" s="184"/>
    </row>
    <row r="214" spans="1:12" ht="18.75" x14ac:dyDescent="0.4">
      <c r="A214" s="219"/>
      <c r="B214" s="219"/>
      <c r="C214" s="219"/>
      <c r="D214" s="216"/>
      <c r="E214" s="218"/>
      <c r="F214" s="23"/>
      <c r="G214" s="217"/>
      <c r="H214" s="184"/>
      <c r="I214" s="217"/>
      <c r="J214" s="184"/>
      <c r="K214" s="217"/>
      <c r="L214" s="184"/>
    </row>
    <row r="215" spans="1:12" ht="18.75" x14ac:dyDescent="0.4">
      <c r="A215" s="219"/>
      <c r="B215" s="219"/>
      <c r="C215" s="219"/>
      <c r="D215" s="216"/>
      <c r="E215" s="218"/>
      <c r="F215" s="23"/>
      <c r="G215" s="217"/>
      <c r="H215" s="184"/>
      <c r="I215" s="217"/>
      <c r="J215" s="184"/>
      <c r="K215" s="217"/>
      <c r="L215" s="184"/>
    </row>
    <row r="216" spans="1:12" ht="18.75" x14ac:dyDescent="0.4">
      <c r="A216" s="219"/>
      <c r="B216" s="219"/>
      <c r="C216" s="219"/>
      <c r="D216" s="216"/>
      <c r="E216" s="218"/>
      <c r="F216" s="23"/>
      <c r="G216" s="217"/>
      <c r="H216" s="184"/>
      <c r="I216" s="217"/>
      <c r="J216" s="184"/>
      <c r="K216" s="217"/>
      <c r="L216" s="184"/>
    </row>
    <row r="217" spans="1:12" ht="18.75" x14ac:dyDescent="0.4">
      <c r="A217" s="219"/>
      <c r="B217" s="219"/>
      <c r="C217" s="219"/>
      <c r="D217" s="216"/>
      <c r="E217" s="218"/>
      <c r="F217" s="23"/>
      <c r="G217" s="218"/>
      <c r="H217" s="10"/>
      <c r="I217" s="218"/>
      <c r="J217" s="10"/>
      <c r="K217" s="218"/>
      <c r="L217" s="10"/>
    </row>
    <row r="218" spans="1:12" x14ac:dyDescent="0.4">
      <c r="A218" s="131"/>
      <c r="B218" s="9"/>
      <c r="C218" s="9"/>
      <c r="D218" s="13"/>
      <c r="E218" s="13"/>
      <c r="F218" s="13"/>
      <c r="G218" s="13"/>
      <c r="H218" s="13"/>
      <c r="I218" s="9"/>
      <c r="J218" s="11"/>
      <c r="K218" s="9"/>
      <c r="L218" s="11"/>
    </row>
    <row r="219" spans="1:12" x14ac:dyDescent="0.4">
      <c r="A219" s="9"/>
      <c r="B219" s="9"/>
      <c r="C219" s="9"/>
      <c r="D219" s="13"/>
      <c r="E219" s="13"/>
      <c r="F219" s="13"/>
      <c r="G219" s="13"/>
      <c r="H219" s="13"/>
      <c r="I219" s="9"/>
      <c r="J219" s="11"/>
      <c r="K219" s="9"/>
      <c r="L219" s="11"/>
    </row>
    <row r="220" spans="1:12" x14ac:dyDescent="0.4">
      <c r="A220" s="13"/>
      <c r="B220" s="24" t="s">
        <v>145</v>
      </c>
      <c r="C220" s="13"/>
      <c r="D220" s="24"/>
      <c r="E220" s="13"/>
      <c r="G220" s="13"/>
      <c r="H220" s="24" t="s">
        <v>145</v>
      </c>
      <c r="I220" s="13"/>
      <c r="J220" s="13"/>
      <c r="K220" s="13"/>
      <c r="L220" s="13"/>
    </row>
    <row r="221" spans="1:12" hidden="1" x14ac:dyDescent="0.4">
      <c r="A221" s="13"/>
      <c r="B221" s="24"/>
      <c r="C221" s="13"/>
      <c r="D221" s="24"/>
      <c r="E221" s="13"/>
      <c r="G221" s="13"/>
      <c r="H221" s="24"/>
      <c r="I221" s="13"/>
      <c r="J221" s="13"/>
      <c r="K221" s="13"/>
      <c r="L221" s="13"/>
    </row>
    <row r="222" spans="1:12" x14ac:dyDescent="0.4">
      <c r="A222" s="221">
        <v>7</v>
      </c>
      <c r="B222" s="221"/>
      <c r="C222" s="221"/>
      <c r="D222" s="221"/>
      <c r="E222" s="221"/>
      <c r="F222" s="221"/>
      <c r="G222" s="221"/>
      <c r="H222" s="221"/>
      <c r="I222" s="221"/>
      <c r="J222" s="221"/>
      <c r="K222" s="221"/>
      <c r="L222" s="221"/>
    </row>
    <row r="223" spans="1:12" x14ac:dyDescent="0.4">
      <c r="A223" s="221"/>
      <c r="B223" s="221"/>
      <c r="C223" s="221"/>
      <c r="D223" s="221"/>
      <c r="E223" s="221"/>
      <c r="F223" s="221"/>
      <c r="G223" s="221"/>
      <c r="H223" s="221"/>
      <c r="I223" s="221"/>
      <c r="J223" s="221"/>
      <c r="K223" s="221"/>
      <c r="L223" s="221"/>
    </row>
  </sheetData>
  <mergeCells count="40">
    <mergeCell ref="J1:L1"/>
    <mergeCell ref="J59:L59"/>
    <mergeCell ref="F7:H7"/>
    <mergeCell ref="J7:L7"/>
    <mergeCell ref="F65:H65"/>
    <mergeCell ref="J65:L65"/>
    <mergeCell ref="A60:L60"/>
    <mergeCell ref="A2:L2"/>
    <mergeCell ref="A3:L3"/>
    <mergeCell ref="A4:L4"/>
    <mergeCell ref="A57:L57"/>
    <mergeCell ref="F6:H6"/>
    <mergeCell ref="J6:L6"/>
    <mergeCell ref="F5:L5"/>
    <mergeCell ref="A223:L223"/>
    <mergeCell ref="A222:L222"/>
    <mergeCell ref="A61:L61"/>
    <mergeCell ref="A62:L62"/>
    <mergeCell ref="F63:L63"/>
    <mergeCell ref="F64:H64"/>
    <mergeCell ref="J64:L64"/>
    <mergeCell ref="J113:L113"/>
    <mergeCell ref="A114:L114"/>
    <mergeCell ref="A115:L115"/>
    <mergeCell ref="A116:L116"/>
    <mergeCell ref="F117:L117"/>
    <mergeCell ref="F118:H118"/>
    <mergeCell ref="J118:L118"/>
    <mergeCell ref="F119:H119"/>
    <mergeCell ref="J119:L119"/>
    <mergeCell ref="A167:L167"/>
    <mergeCell ref="J169:L169"/>
    <mergeCell ref="A170:L170"/>
    <mergeCell ref="A171:L171"/>
    <mergeCell ref="A172:L172"/>
    <mergeCell ref="F173:L173"/>
    <mergeCell ref="F174:H174"/>
    <mergeCell ref="J174:L174"/>
    <mergeCell ref="F175:H175"/>
    <mergeCell ref="J175:L175"/>
  </mergeCells>
  <phoneticPr fontId="0" type="noConversion"/>
  <conditionalFormatting sqref="G42 I42:L42 F83:L83 E83:E108 G85:G108 I85:I108 K85:K108">
    <cfRule type="expression" priority="4" stopIfTrue="1">
      <formula>"if(E11&gt;0,#,##0;(#,##0),"-")"</formula>
    </cfRule>
  </conditionalFormatting>
  <conditionalFormatting sqref="G153 I153:L153 F193:L193 E193:E217 G195:G217 I195:I217 K195:K217">
    <cfRule type="expression" priority="1" stopIfTrue="1">
      <formula>"if(E11&gt;0,#,##0;(#,##0),"-")"</formula>
    </cfRule>
  </conditionalFormatting>
  <pageMargins left="0.69488189" right="0" top="0.511811023622047" bottom="0.27" header="0.35433070866141703" footer="0"/>
  <pageSetup paperSize="9" scale="90" firstPageNumber="8" orientation="portrait" r:id="rId1"/>
  <headerFooter alignWithMargins="0"/>
  <rowBreaks count="3" manualBreakCount="3">
    <brk id="57" max="11" man="1"/>
    <brk id="112" max="11" man="1"/>
    <brk id="167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27"/>
  <sheetViews>
    <sheetView view="pageBreakPreview" zoomScaleNormal="120" zoomScaleSheetLayoutView="100" workbookViewId="0">
      <selection activeCell="D7" sqref="D7"/>
    </sheetView>
  </sheetViews>
  <sheetFormatPr defaultColWidth="9.140625" defaultRowHeight="16.5" customHeight="1" x14ac:dyDescent="0.4"/>
  <cols>
    <col min="1" max="3" width="2.7109375" style="18" customWidth="1"/>
    <col min="4" max="4" width="44" style="18" bestFit="1" customWidth="1"/>
    <col min="5" max="5" width="6" style="13" customWidth="1"/>
    <col min="6" max="6" width="1.28515625" style="13" customWidth="1"/>
    <col min="7" max="7" width="12.7109375" style="18" customWidth="1"/>
    <col min="8" max="8" width="0.7109375" style="18" customWidth="1"/>
    <col min="9" max="9" width="12.7109375" style="18" customWidth="1"/>
    <col min="10" max="10" width="0.5703125" style="18" customWidth="1"/>
    <col min="11" max="11" width="12.7109375" style="199" customWidth="1"/>
    <col min="12" max="12" width="0.7109375" style="18" customWidth="1"/>
    <col min="13" max="13" width="12.7109375" style="18" customWidth="1"/>
    <col min="14" max="14" width="1.7109375" style="18" customWidth="1"/>
    <col min="15" max="15" width="12.7109375" style="18" customWidth="1"/>
    <col min="16" max="16" width="13.28515625" style="18" customWidth="1"/>
    <col min="17" max="16384" width="9.140625" style="18"/>
  </cols>
  <sheetData>
    <row r="1" spans="1:15" ht="16.5" customHeight="1" x14ac:dyDescent="0.4">
      <c r="K1" s="239" t="s">
        <v>338</v>
      </c>
      <c r="L1" s="239"/>
      <c r="M1" s="239"/>
    </row>
    <row r="2" spans="1:15" ht="16.5" customHeight="1" x14ac:dyDescent="0.4">
      <c r="A2" s="222" t="s">
        <v>131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</row>
    <row r="3" spans="1:15" ht="16.5" customHeight="1" x14ac:dyDescent="0.4">
      <c r="A3" s="228" t="s">
        <v>179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</row>
    <row r="4" spans="1:15" ht="16.5" customHeight="1" x14ac:dyDescent="0.4">
      <c r="A4" s="228" t="s">
        <v>375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</row>
    <row r="5" spans="1:15" ht="16.5" customHeight="1" x14ac:dyDescent="0.4">
      <c r="A5" s="8"/>
      <c r="B5" s="8"/>
      <c r="C5" s="8"/>
      <c r="D5" s="8"/>
      <c r="E5" s="195"/>
      <c r="F5" s="195"/>
      <c r="G5" s="242" t="s">
        <v>166</v>
      </c>
      <c r="H5" s="242"/>
      <c r="I5" s="242"/>
      <c r="J5" s="242"/>
      <c r="K5" s="242"/>
      <c r="L5" s="242"/>
      <c r="M5" s="242"/>
    </row>
    <row r="6" spans="1:15" ht="16.5" customHeight="1" x14ac:dyDescent="0.4">
      <c r="E6" s="195"/>
      <c r="F6" s="195"/>
      <c r="G6" s="243" t="s">
        <v>205</v>
      </c>
      <c r="H6" s="243"/>
      <c r="I6" s="243"/>
      <c r="J6" s="9"/>
      <c r="K6" s="243" t="s">
        <v>206</v>
      </c>
      <c r="L6" s="243"/>
      <c r="M6" s="243"/>
    </row>
    <row r="7" spans="1:15" ht="16.5" customHeight="1" x14ac:dyDescent="0.4">
      <c r="E7" s="195"/>
      <c r="F7" s="195"/>
      <c r="G7" s="243" t="s">
        <v>374</v>
      </c>
      <c r="H7" s="243"/>
      <c r="I7" s="243"/>
      <c r="J7" s="196"/>
      <c r="K7" s="243" t="str">
        <f>+G7</f>
        <v>For the six-month period ended June 30</v>
      </c>
      <c r="L7" s="243"/>
      <c r="M7" s="243"/>
    </row>
    <row r="8" spans="1:15" ht="16.5" customHeight="1" x14ac:dyDescent="0.4">
      <c r="E8" s="195"/>
      <c r="F8" s="195"/>
      <c r="G8" s="155">
        <v>2024</v>
      </c>
      <c r="H8" s="13"/>
      <c r="I8" s="155">
        <v>2023</v>
      </c>
      <c r="J8" s="9"/>
      <c r="K8" s="155">
        <f>+G8</f>
        <v>2024</v>
      </c>
      <c r="L8" s="13"/>
      <c r="M8" s="155">
        <f>+I8</f>
        <v>2023</v>
      </c>
      <c r="N8" s="13"/>
      <c r="O8" s="27"/>
    </row>
    <row r="9" spans="1:15" ht="16.5" customHeight="1" x14ac:dyDescent="0.4">
      <c r="A9" s="18" t="s">
        <v>180</v>
      </c>
      <c r="B9" s="15"/>
      <c r="C9" s="15"/>
      <c r="D9" s="15"/>
      <c r="E9" s="195"/>
      <c r="F9" s="197"/>
      <c r="G9" s="198"/>
      <c r="H9" s="198"/>
      <c r="I9" s="198"/>
      <c r="J9" s="199"/>
      <c r="L9" s="199"/>
      <c r="M9" s="199"/>
    </row>
    <row r="10" spans="1:15" ht="16.5" customHeight="1" x14ac:dyDescent="0.4">
      <c r="A10" s="15"/>
      <c r="B10" s="18" t="s">
        <v>267</v>
      </c>
      <c r="C10" s="15"/>
      <c r="D10" s="15"/>
      <c r="E10" s="195"/>
      <c r="F10" s="197"/>
      <c r="G10" s="14">
        <f>+'PL_Q2-67'!F38</f>
        <v>286469110.06000012</v>
      </c>
      <c r="H10" s="14"/>
      <c r="I10" s="14">
        <f>+'PL_Q2-67'!H38</f>
        <v>72170280.61999999</v>
      </c>
      <c r="J10" s="14"/>
      <c r="K10" s="14">
        <f>+'PL_Q2-67'!J38</f>
        <v>82982563.439999968</v>
      </c>
      <c r="L10" s="14"/>
      <c r="M10" s="14">
        <f>+'PL_Q2-67'!L38</f>
        <v>30868730.050000031</v>
      </c>
    </row>
    <row r="11" spans="1:15" ht="16.5" customHeight="1" x14ac:dyDescent="0.4">
      <c r="A11" s="15"/>
      <c r="B11" s="18" t="s">
        <v>182</v>
      </c>
      <c r="C11" s="15"/>
      <c r="D11" s="15"/>
      <c r="E11" s="195"/>
      <c r="F11" s="197"/>
      <c r="G11" s="14"/>
      <c r="H11" s="14"/>
      <c r="I11" s="14"/>
      <c r="J11" s="14"/>
      <c r="K11" s="14"/>
      <c r="L11" s="14"/>
      <c r="M11" s="14"/>
    </row>
    <row r="12" spans="1:15" ht="16.5" customHeight="1" x14ac:dyDescent="0.4">
      <c r="A12" s="15"/>
      <c r="C12" s="18" t="s">
        <v>201</v>
      </c>
      <c r="D12" s="15"/>
      <c r="E12" s="197"/>
      <c r="F12" s="197"/>
      <c r="G12" s="14"/>
      <c r="H12" s="14"/>
      <c r="I12" s="14"/>
      <c r="J12" s="14"/>
      <c r="K12" s="14"/>
      <c r="L12" s="14"/>
      <c r="M12" s="14"/>
    </row>
    <row r="13" spans="1:15" ht="16.5" customHeight="1" x14ac:dyDescent="0.4">
      <c r="A13" s="15"/>
      <c r="C13" s="18" t="s">
        <v>181</v>
      </c>
      <c r="D13" s="18" t="s">
        <v>183</v>
      </c>
      <c r="E13" s="197" t="s">
        <v>353</v>
      </c>
      <c r="F13" s="197"/>
      <c r="G13" s="14">
        <v>5788568.1799999997</v>
      </c>
      <c r="H13" s="14"/>
      <c r="I13" s="14">
        <v>12597746.59</v>
      </c>
      <c r="J13" s="14"/>
      <c r="K13" s="14">
        <v>3777694.78</v>
      </c>
      <c r="L13" s="14"/>
      <c r="M13" s="14">
        <v>3547397.58</v>
      </c>
    </row>
    <row r="14" spans="1:15" ht="16.5" customHeight="1" x14ac:dyDescent="0.4">
      <c r="A14" s="15"/>
      <c r="D14" s="15" t="s">
        <v>386</v>
      </c>
      <c r="E14" s="197">
        <v>15</v>
      </c>
      <c r="F14" s="197"/>
      <c r="G14" s="14">
        <v>2860663.58</v>
      </c>
      <c r="H14" s="14"/>
      <c r="I14" s="14">
        <v>0</v>
      </c>
      <c r="J14" s="14"/>
      <c r="K14" s="14">
        <v>0</v>
      </c>
      <c r="L14" s="14"/>
      <c r="M14" s="14">
        <v>0</v>
      </c>
    </row>
    <row r="15" spans="1:15" ht="16.5" customHeight="1" x14ac:dyDescent="0.4">
      <c r="A15" s="15"/>
      <c r="B15" s="15"/>
      <c r="C15" s="15"/>
      <c r="D15" s="15" t="s">
        <v>354</v>
      </c>
      <c r="E15" s="197">
        <v>10</v>
      </c>
      <c r="F15" s="197"/>
      <c r="G15" s="14">
        <v>13583274.9</v>
      </c>
      <c r="H15" s="14"/>
      <c r="I15" s="14">
        <v>0</v>
      </c>
      <c r="J15" s="14"/>
      <c r="K15" s="14">
        <v>13583274.9</v>
      </c>
      <c r="L15" s="14"/>
      <c r="M15" s="14">
        <v>0</v>
      </c>
    </row>
    <row r="16" spans="1:15" ht="16.5" customHeight="1" x14ac:dyDescent="0.4">
      <c r="A16" s="15"/>
      <c r="B16" s="15"/>
      <c r="C16" s="15"/>
      <c r="D16" s="9" t="s">
        <v>316</v>
      </c>
      <c r="E16" s="146" t="s">
        <v>318</v>
      </c>
      <c r="F16" s="197"/>
      <c r="G16" s="14">
        <v>33501078.25</v>
      </c>
      <c r="H16" s="21"/>
      <c r="I16" s="14">
        <v>54548718.310000002</v>
      </c>
      <c r="J16" s="21"/>
      <c r="K16" s="14">
        <v>28007001.620000001</v>
      </c>
      <c r="L16" s="14"/>
      <c r="M16" s="14">
        <v>33838584.799999997</v>
      </c>
    </row>
    <row r="17" spans="1:13" ht="16.5" customHeight="1" x14ac:dyDescent="0.4">
      <c r="A17" s="15"/>
      <c r="B17" s="15"/>
      <c r="C17" s="15"/>
      <c r="D17" s="9" t="s">
        <v>331</v>
      </c>
      <c r="E17" s="146" t="s">
        <v>384</v>
      </c>
      <c r="F17" s="197"/>
      <c r="G17" s="14">
        <v>-39204869.329999998</v>
      </c>
      <c r="H17" s="21"/>
      <c r="I17" s="14">
        <v>-98724559.209999993</v>
      </c>
      <c r="J17" s="21"/>
      <c r="K17" s="14">
        <v>-78103.03</v>
      </c>
      <c r="L17" s="14"/>
      <c r="M17" s="14">
        <v>-76866.179999999993</v>
      </c>
    </row>
    <row r="18" spans="1:13" ht="16.5" customHeight="1" x14ac:dyDescent="0.4">
      <c r="A18" s="15"/>
      <c r="B18" s="15"/>
      <c r="C18" s="15"/>
      <c r="D18" s="9" t="s">
        <v>355</v>
      </c>
      <c r="E18" s="146" t="s">
        <v>384</v>
      </c>
      <c r="F18" s="197"/>
      <c r="G18" s="14">
        <v>-118720783.69</v>
      </c>
      <c r="H18" s="21"/>
      <c r="I18" s="14">
        <v>8338823.5</v>
      </c>
      <c r="J18" s="21"/>
      <c r="K18" s="14">
        <v>-34420.730000000003</v>
      </c>
      <c r="L18" s="14"/>
      <c r="M18" s="14">
        <v>37.1</v>
      </c>
    </row>
    <row r="19" spans="1:13" ht="16.5" customHeight="1" x14ac:dyDescent="0.4">
      <c r="A19" s="15"/>
      <c r="B19" s="15"/>
      <c r="C19" s="15"/>
      <c r="D19" s="9" t="s">
        <v>347</v>
      </c>
      <c r="E19" s="146"/>
      <c r="F19" s="197"/>
      <c r="G19" s="14">
        <v>-94968945.670000002</v>
      </c>
      <c r="H19" s="21"/>
      <c r="I19" s="14">
        <v>-7432502.9299999997</v>
      </c>
      <c r="J19" s="21"/>
      <c r="K19" s="14">
        <v>633.47</v>
      </c>
      <c r="L19" s="14"/>
      <c r="M19" s="14">
        <v>-4321.8500000000004</v>
      </c>
    </row>
    <row r="20" spans="1:13" ht="16.5" customHeight="1" x14ac:dyDescent="0.4">
      <c r="A20" s="15"/>
      <c r="B20" s="15"/>
      <c r="C20" s="15"/>
      <c r="D20" s="9" t="s">
        <v>382</v>
      </c>
      <c r="E20" s="146"/>
      <c r="F20" s="197"/>
      <c r="G20" s="14">
        <v>-4000000</v>
      </c>
      <c r="H20" s="21"/>
      <c r="I20" s="14">
        <v>-5000000</v>
      </c>
      <c r="J20" s="21"/>
      <c r="K20" s="14">
        <v>-4000000</v>
      </c>
      <c r="L20" s="14"/>
      <c r="M20" s="14">
        <v>-5000000</v>
      </c>
    </row>
    <row r="21" spans="1:13" ht="16.5" customHeight="1" x14ac:dyDescent="0.4">
      <c r="A21" s="15"/>
      <c r="B21" s="15"/>
      <c r="C21" s="15"/>
      <c r="D21" s="15" t="s">
        <v>268</v>
      </c>
      <c r="E21" s="13">
        <v>21</v>
      </c>
      <c r="F21" s="197"/>
      <c r="G21" s="14">
        <v>1448365</v>
      </c>
      <c r="H21" s="21"/>
      <c r="I21" s="14">
        <v>1372627</v>
      </c>
      <c r="J21" s="21"/>
      <c r="K21" s="14">
        <v>1431566.34</v>
      </c>
      <c r="L21" s="14"/>
      <c r="M21" s="14">
        <v>1230866</v>
      </c>
    </row>
    <row r="22" spans="1:13" ht="16.5" customHeight="1" x14ac:dyDescent="0.4">
      <c r="A22" s="15"/>
      <c r="B22" s="15"/>
      <c r="C22" s="15"/>
      <c r="D22" s="15" t="s">
        <v>273</v>
      </c>
      <c r="E22" s="13">
        <v>17.100000000000001</v>
      </c>
      <c r="F22" s="197"/>
      <c r="G22" s="14">
        <v>31412400.600000001</v>
      </c>
      <c r="I22" s="14">
        <v>6578580.1100000003</v>
      </c>
      <c r="K22" s="14">
        <v>31412400.600000001</v>
      </c>
      <c r="M22" s="14">
        <v>6578580.1100000003</v>
      </c>
    </row>
    <row r="23" spans="1:13" ht="16.5" customHeight="1" x14ac:dyDescent="0.4">
      <c r="A23" s="15"/>
      <c r="B23" s="15"/>
      <c r="C23" s="15"/>
      <c r="D23" s="15" t="s">
        <v>269</v>
      </c>
      <c r="E23" s="13">
        <v>17.100000000000001</v>
      </c>
      <c r="F23" s="197"/>
      <c r="G23" s="21">
        <v>-11658698.16</v>
      </c>
      <c r="H23" s="21"/>
      <c r="I23" s="21">
        <v>-5073342.1399999997</v>
      </c>
      <c r="J23" s="21"/>
      <c r="K23" s="18">
        <v>-9471132.1899999995</v>
      </c>
      <c r="L23" s="21"/>
      <c r="M23" s="18">
        <v>-1121322.8</v>
      </c>
    </row>
    <row r="24" spans="1:13" ht="16.5" customHeight="1" x14ac:dyDescent="0.4">
      <c r="A24" s="15"/>
      <c r="B24" s="15"/>
      <c r="C24" s="15"/>
      <c r="D24" s="15" t="s">
        <v>213</v>
      </c>
      <c r="E24" s="197"/>
      <c r="F24" s="197"/>
      <c r="G24" s="157">
        <v>4913598.17</v>
      </c>
      <c r="H24" s="14"/>
      <c r="I24" s="157">
        <v>5219442.4800000004</v>
      </c>
      <c r="J24" s="14"/>
      <c r="K24" s="157">
        <v>5074827.68</v>
      </c>
      <c r="L24" s="14"/>
      <c r="M24" s="157">
        <v>5591360.2999999998</v>
      </c>
    </row>
    <row r="25" spans="1:13" ht="16.5" customHeight="1" x14ac:dyDescent="0.4">
      <c r="A25" s="15"/>
      <c r="B25" s="15" t="s">
        <v>243</v>
      </c>
      <c r="C25" s="15"/>
      <c r="D25" s="15"/>
      <c r="E25" s="197"/>
      <c r="F25" s="197"/>
      <c r="G25" s="14">
        <f>+SUM(G10:G24)</f>
        <v>111423761.89000012</v>
      </c>
      <c r="H25" s="21"/>
      <c r="I25" s="14">
        <f>+SUM(I10:I24)</f>
        <v>44595814.329999983</v>
      </c>
      <c r="J25" s="21"/>
      <c r="K25" s="14">
        <f>+SUM(K10:K24)</f>
        <v>152686306.88</v>
      </c>
      <c r="L25" s="21"/>
      <c r="M25" s="14">
        <f>+SUM(M10:M24)</f>
        <v>75453045.110000029</v>
      </c>
    </row>
    <row r="26" spans="1:13" ht="16.5" customHeight="1" x14ac:dyDescent="0.4">
      <c r="A26" s="15"/>
      <c r="B26" s="24" t="s">
        <v>184</v>
      </c>
      <c r="C26" s="15"/>
      <c r="D26" s="15"/>
      <c r="E26" s="197"/>
      <c r="F26" s="197"/>
      <c r="G26" s="14"/>
      <c r="H26" s="21"/>
      <c r="I26" s="14"/>
      <c r="J26" s="21"/>
      <c r="K26" s="14"/>
      <c r="L26" s="21"/>
      <c r="M26" s="14"/>
    </row>
    <row r="27" spans="1:13" ht="16.5" customHeight="1" x14ac:dyDescent="0.4">
      <c r="A27" s="15"/>
      <c r="B27" s="15"/>
      <c r="C27" s="127" t="s">
        <v>311</v>
      </c>
      <c r="D27" s="15"/>
      <c r="E27" s="191">
        <v>8.3000000000000007</v>
      </c>
      <c r="F27" s="197"/>
      <c r="G27" s="14">
        <v>-107587424.02</v>
      </c>
      <c r="H27" s="14"/>
      <c r="I27" s="14">
        <v>183412778.13999999</v>
      </c>
      <c r="J27" s="14"/>
      <c r="K27" s="14">
        <v>-84568636.319999993</v>
      </c>
      <c r="L27" s="14"/>
      <c r="M27" s="14">
        <v>19071330.359999999</v>
      </c>
    </row>
    <row r="28" spans="1:13" ht="16.5" customHeight="1" x14ac:dyDescent="0.4">
      <c r="A28" s="15"/>
      <c r="B28" s="15"/>
      <c r="C28" s="15" t="s">
        <v>235</v>
      </c>
      <c r="D28" s="15"/>
      <c r="E28" s="197">
        <v>4</v>
      </c>
      <c r="F28" s="197"/>
      <c r="G28" s="14">
        <v>-18581232.829999998</v>
      </c>
      <c r="H28" s="14"/>
      <c r="I28" s="14">
        <v>36822491.009999998</v>
      </c>
      <c r="J28" s="14"/>
      <c r="K28" s="14">
        <v>-26386455.199999999</v>
      </c>
      <c r="L28" s="14"/>
      <c r="M28" s="14">
        <v>17325000</v>
      </c>
    </row>
    <row r="29" spans="1:13" ht="16.5" customHeight="1" x14ac:dyDescent="0.4">
      <c r="A29" s="15"/>
      <c r="B29" s="15"/>
      <c r="C29" s="15" t="s">
        <v>234</v>
      </c>
      <c r="D29" s="15"/>
      <c r="E29" s="191">
        <v>2.2000000000000002</v>
      </c>
      <c r="F29" s="197"/>
      <c r="G29" s="14">
        <v>46824.480000000003</v>
      </c>
      <c r="H29" s="14"/>
      <c r="I29" s="14">
        <v>-73981.11</v>
      </c>
      <c r="J29" s="14"/>
      <c r="K29" s="14">
        <v>-3328175.52</v>
      </c>
      <c r="L29" s="14"/>
      <c r="M29" s="14">
        <v>-2200242.4700000002</v>
      </c>
    </row>
    <row r="30" spans="1:13" ht="16.5" customHeight="1" x14ac:dyDescent="0.4">
      <c r="A30" s="15"/>
      <c r="B30" s="15"/>
      <c r="C30" s="15" t="s">
        <v>252</v>
      </c>
      <c r="D30" s="15"/>
      <c r="E30" s="197">
        <v>5</v>
      </c>
      <c r="F30" s="197"/>
      <c r="G30" s="14">
        <v>-43434173.740000002</v>
      </c>
      <c r="H30" s="14"/>
      <c r="I30" s="14">
        <v>-88216349.450000003</v>
      </c>
      <c r="J30" s="14"/>
      <c r="K30" s="14">
        <v>27950297.710000001</v>
      </c>
      <c r="L30" s="14"/>
      <c r="M30" s="14">
        <v>-28674318.48</v>
      </c>
    </row>
    <row r="31" spans="1:13" ht="16.5" customHeight="1" x14ac:dyDescent="0.4">
      <c r="A31" s="15"/>
      <c r="B31" s="15"/>
      <c r="C31" s="15" t="s">
        <v>251</v>
      </c>
      <c r="D31" s="15"/>
      <c r="E31" s="191">
        <v>2.2999999999999998</v>
      </c>
      <c r="F31" s="197"/>
      <c r="G31" s="14">
        <v>0</v>
      </c>
      <c r="H31" s="14"/>
      <c r="I31" s="14">
        <v>0</v>
      </c>
      <c r="J31" s="14"/>
      <c r="K31" s="14">
        <v>1558310.71</v>
      </c>
      <c r="L31" s="14"/>
      <c r="M31" s="14">
        <v>0</v>
      </c>
    </row>
    <row r="32" spans="1:13" ht="16.5" customHeight="1" x14ac:dyDescent="0.4">
      <c r="A32" s="15"/>
      <c r="B32" s="15"/>
      <c r="C32" s="15" t="s">
        <v>387</v>
      </c>
      <c r="D32" s="15"/>
      <c r="E32" s="146" t="s">
        <v>384</v>
      </c>
      <c r="F32" s="197"/>
      <c r="G32" s="14">
        <v>-190202515.65000001</v>
      </c>
      <c r="H32" s="14"/>
      <c r="I32" s="14">
        <v>0</v>
      </c>
      <c r="J32" s="14"/>
      <c r="K32" s="14">
        <v>0</v>
      </c>
      <c r="L32" s="14"/>
      <c r="M32" s="14">
        <v>0</v>
      </c>
    </row>
    <row r="33" spans="1:13" ht="16.5" customHeight="1" x14ac:dyDescent="0.4">
      <c r="A33" s="15"/>
      <c r="B33" s="15"/>
      <c r="C33" s="15" t="s">
        <v>187</v>
      </c>
      <c r="D33" s="15"/>
      <c r="E33" s="197"/>
      <c r="F33" s="197"/>
      <c r="G33" s="14">
        <v>-2142422.35</v>
      </c>
      <c r="H33" s="14"/>
      <c r="I33" s="14">
        <v>3118569.53</v>
      </c>
      <c r="J33" s="14"/>
      <c r="K33" s="14">
        <v>-3352873.23</v>
      </c>
      <c r="L33" s="14"/>
      <c r="M33" s="14">
        <v>2130327.4300000002</v>
      </c>
    </row>
    <row r="34" spans="1:13" ht="16.5" customHeight="1" x14ac:dyDescent="0.4">
      <c r="A34" s="15"/>
      <c r="B34" s="15"/>
      <c r="C34" s="15" t="s">
        <v>140</v>
      </c>
      <c r="D34" s="15"/>
      <c r="E34" s="197"/>
      <c r="F34" s="197"/>
      <c r="G34" s="14">
        <v>0</v>
      </c>
      <c r="H34" s="14"/>
      <c r="I34" s="14">
        <v>373831.76</v>
      </c>
      <c r="J34" s="14"/>
      <c r="K34" s="14">
        <v>0</v>
      </c>
      <c r="L34" s="14"/>
      <c r="M34" s="14">
        <v>478929.36</v>
      </c>
    </row>
    <row r="35" spans="1:13" ht="16.5" customHeight="1" x14ac:dyDescent="0.4">
      <c r="A35" s="15"/>
      <c r="B35" s="15" t="s">
        <v>188</v>
      </c>
      <c r="C35" s="15"/>
      <c r="D35" s="15"/>
      <c r="E35" s="197"/>
      <c r="F35" s="197"/>
      <c r="G35" s="14"/>
      <c r="H35" s="14"/>
      <c r="I35" s="14"/>
      <c r="J35" s="14"/>
      <c r="K35" s="14"/>
      <c r="L35" s="14"/>
      <c r="M35" s="14"/>
    </row>
    <row r="36" spans="1:13" ht="16.5" customHeight="1" x14ac:dyDescent="0.4">
      <c r="A36" s="15"/>
      <c r="B36" s="15"/>
      <c r="C36" s="15" t="s">
        <v>236</v>
      </c>
      <c r="D36" s="15"/>
      <c r="E36" s="197"/>
      <c r="F36" s="197"/>
      <c r="G36" s="14">
        <v>0</v>
      </c>
      <c r="H36" s="14"/>
      <c r="I36" s="14">
        <v>15631.41</v>
      </c>
      <c r="J36" s="14"/>
      <c r="K36" s="14">
        <v>0</v>
      </c>
      <c r="L36" s="14"/>
      <c r="M36" s="14">
        <v>0</v>
      </c>
    </row>
    <row r="37" spans="1:13" ht="16.5" customHeight="1" x14ac:dyDescent="0.4">
      <c r="A37" s="15"/>
      <c r="B37" s="15"/>
      <c r="C37" s="15" t="s">
        <v>356</v>
      </c>
      <c r="D37" s="15"/>
      <c r="E37" s="191">
        <v>2.5</v>
      </c>
      <c r="F37" s="197"/>
      <c r="G37" s="14">
        <v>0</v>
      </c>
      <c r="H37" s="14"/>
      <c r="I37" s="14">
        <v>0</v>
      </c>
      <c r="J37" s="14"/>
      <c r="K37" s="14">
        <v>-78725230.049999997</v>
      </c>
      <c r="L37" s="14"/>
      <c r="M37" s="14">
        <v>-3800000</v>
      </c>
    </row>
    <row r="38" spans="1:13" ht="16.5" customHeight="1" x14ac:dyDescent="0.4">
      <c r="A38" s="15"/>
      <c r="B38" s="15"/>
      <c r="C38" s="15" t="s">
        <v>254</v>
      </c>
      <c r="D38" s="15"/>
      <c r="E38" s="197">
        <v>19</v>
      </c>
      <c r="F38" s="197"/>
      <c r="G38" s="14">
        <v>-30142952.02</v>
      </c>
      <c r="H38" s="14"/>
      <c r="I38" s="14">
        <v>-4431040.0599999996</v>
      </c>
      <c r="J38" s="14"/>
      <c r="K38" s="14">
        <v>-29841766.010000002</v>
      </c>
      <c r="L38" s="14"/>
      <c r="M38" s="14">
        <v>1678070.1</v>
      </c>
    </row>
    <row r="39" spans="1:13" ht="16.5" customHeight="1" x14ac:dyDescent="0.4">
      <c r="A39" s="15"/>
      <c r="B39" s="15"/>
      <c r="C39" s="15" t="s">
        <v>326</v>
      </c>
      <c r="D39" s="15"/>
      <c r="E39" s="197"/>
      <c r="F39" s="197"/>
      <c r="G39" s="14"/>
      <c r="H39" s="14"/>
      <c r="I39" s="14">
        <v>0</v>
      </c>
      <c r="J39" s="14"/>
      <c r="K39" s="14">
        <v>25593516.260000002</v>
      </c>
      <c r="L39" s="14"/>
      <c r="M39" s="14">
        <v>19108224.420000002</v>
      </c>
    </row>
    <row r="40" spans="1:13" ht="16.5" customHeight="1" x14ac:dyDescent="0.4">
      <c r="A40" s="15"/>
      <c r="B40" s="15"/>
      <c r="C40" s="15" t="s">
        <v>148</v>
      </c>
      <c r="D40" s="15"/>
      <c r="E40" s="197"/>
      <c r="F40" s="197"/>
      <c r="G40" s="14">
        <v>-3063733.01</v>
      </c>
      <c r="H40" s="14"/>
      <c r="I40" s="14">
        <v>-16267100.029999999</v>
      </c>
      <c r="J40" s="14"/>
      <c r="K40" s="14">
        <v>-1818359.26</v>
      </c>
      <c r="L40" s="14"/>
      <c r="M40" s="14">
        <v>-8565507.0500000007</v>
      </c>
    </row>
    <row r="41" spans="1:13" ht="16.5" customHeight="1" x14ac:dyDescent="0.4">
      <c r="A41" s="15"/>
      <c r="B41" s="15"/>
      <c r="C41" s="15" t="s">
        <v>289</v>
      </c>
      <c r="D41" s="15"/>
      <c r="E41" s="197"/>
      <c r="F41" s="197"/>
      <c r="G41" s="14">
        <v>1041926.28</v>
      </c>
      <c r="H41" s="14"/>
      <c r="I41" s="14">
        <v>974742.77</v>
      </c>
      <c r="J41" s="14"/>
      <c r="K41" s="14">
        <v>2145931.2800000003</v>
      </c>
      <c r="L41" s="14"/>
      <c r="M41" s="14">
        <v>832981.77</v>
      </c>
    </row>
    <row r="42" spans="1:13" ht="16.5" customHeight="1" x14ac:dyDescent="0.4">
      <c r="A42" s="15"/>
      <c r="B42" s="15"/>
      <c r="C42" s="15"/>
      <c r="D42" s="15" t="s">
        <v>389</v>
      </c>
      <c r="E42" s="197"/>
      <c r="F42" s="197"/>
      <c r="G42" s="158">
        <f>SUM(G25:G41)</f>
        <v>-282641940.96999991</v>
      </c>
      <c r="H42" s="21"/>
      <c r="I42" s="158">
        <f>SUM(I25:I41)</f>
        <v>160325388.29999995</v>
      </c>
      <c r="J42" s="21"/>
      <c r="K42" s="158">
        <f>SUM(K25:K41)</f>
        <v>-18087132.75</v>
      </c>
      <c r="L42" s="21"/>
      <c r="M42" s="158">
        <f>SUM(M25:M41)</f>
        <v>92837840.550000027</v>
      </c>
    </row>
    <row r="43" spans="1:13" ht="16.5" customHeight="1" x14ac:dyDescent="0.4">
      <c r="A43" s="15"/>
      <c r="B43" s="15"/>
      <c r="C43" s="15"/>
      <c r="D43" s="15" t="s">
        <v>237</v>
      </c>
      <c r="E43" s="197"/>
      <c r="F43" s="197"/>
      <c r="G43" s="21">
        <v>-4913598.17</v>
      </c>
      <c r="H43" s="21"/>
      <c r="I43" s="21">
        <v>-5219442.4800000004</v>
      </c>
      <c r="J43" s="21"/>
      <c r="K43" s="21">
        <v>-5074827.68</v>
      </c>
      <c r="L43" s="21"/>
      <c r="M43" s="21">
        <v>-5591360.2999999998</v>
      </c>
    </row>
    <row r="44" spans="1:13" ht="16.5" customHeight="1" x14ac:dyDescent="0.4">
      <c r="A44" s="15"/>
      <c r="B44" s="15"/>
      <c r="C44" s="15"/>
      <c r="D44" s="15" t="s">
        <v>204</v>
      </c>
      <c r="E44" s="197"/>
      <c r="F44" s="197"/>
      <c r="G44" s="21">
        <v>-12478373.619999999</v>
      </c>
      <c r="H44" s="21"/>
      <c r="I44" s="21">
        <v>-1069815.3899999999</v>
      </c>
      <c r="J44" s="21"/>
      <c r="K44" s="21">
        <v>-11951251.390000001</v>
      </c>
      <c r="L44" s="21"/>
      <c r="M44" s="21">
        <v>-816381.01</v>
      </c>
    </row>
    <row r="45" spans="1:13" ht="16.5" customHeight="1" x14ac:dyDescent="0.4">
      <c r="A45" s="15"/>
      <c r="B45" s="15"/>
      <c r="C45" s="15"/>
      <c r="D45" s="15" t="s">
        <v>388</v>
      </c>
      <c r="E45" s="197"/>
      <c r="F45" s="197"/>
      <c r="G45" s="21">
        <v>-1129203</v>
      </c>
      <c r="H45" s="21"/>
      <c r="I45" s="21">
        <v>0</v>
      </c>
      <c r="J45" s="21"/>
      <c r="K45" s="21">
        <v>-1129203</v>
      </c>
      <c r="L45" s="21"/>
      <c r="M45" s="21">
        <v>0</v>
      </c>
    </row>
    <row r="46" spans="1:13" ht="16.5" customHeight="1" x14ac:dyDescent="0.4">
      <c r="A46" s="15"/>
      <c r="B46" s="15"/>
      <c r="C46" s="15"/>
      <c r="D46" s="15" t="s">
        <v>200</v>
      </c>
      <c r="E46" s="197"/>
      <c r="F46" s="197"/>
      <c r="G46" s="159">
        <f>SUM(G42:G45)</f>
        <v>-301163115.75999993</v>
      </c>
      <c r="H46" s="21"/>
      <c r="I46" s="159">
        <f>SUM(I42:I45)</f>
        <v>154036130.42999998</v>
      </c>
      <c r="J46" s="21"/>
      <c r="K46" s="159">
        <f>SUM(K42:K45)</f>
        <v>-36242414.82</v>
      </c>
      <c r="L46" s="21"/>
      <c r="M46" s="159">
        <f>SUM(M42:M45)</f>
        <v>86430099.240000024</v>
      </c>
    </row>
    <row r="47" spans="1:13" ht="16.5" customHeight="1" x14ac:dyDescent="0.4">
      <c r="A47" s="15"/>
      <c r="B47" s="15"/>
      <c r="C47" s="15"/>
      <c r="D47" s="15"/>
      <c r="E47" s="197"/>
      <c r="F47" s="197"/>
      <c r="G47" s="130"/>
      <c r="H47" s="130"/>
      <c r="I47" s="130"/>
      <c r="J47" s="130"/>
      <c r="K47" s="130"/>
      <c r="L47" s="130"/>
      <c r="M47" s="130"/>
    </row>
    <row r="48" spans="1:13" ht="16.5" customHeight="1" x14ac:dyDescent="0.4">
      <c r="A48" s="15" t="str">
        <f>+'BS_Q2-67'!A45</f>
        <v>The accompanying interim notes to financial statements are an integral part of these interim financial statements.</v>
      </c>
      <c r="B48" s="15"/>
      <c r="C48" s="15"/>
      <c r="D48" s="15"/>
      <c r="E48" s="197"/>
      <c r="F48" s="197"/>
      <c r="G48" s="130"/>
      <c r="H48" s="130"/>
      <c r="I48" s="130"/>
      <c r="J48" s="130"/>
      <c r="K48" s="130"/>
      <c r="L48" s="130"/>
      <c r="M48" s="130"/>
    </row>
    <row r="49" spans="1:13" ht="16.5" customHeight="1" x14ac:dyDescent="0.4">
      <c r="A49" s="15"/>
      <c r="B49" s="15"/>
      <c r="C49" s="15"/>
      <c r="D49" s="15"/>
      <c r="E49" s="197"/>
      <c r="F49" s="197"/>
      <c r="G49" s="130"/>
      <c r="H49" s="130"/>
      <c r="I49" s="130"/>
      <c r="J49" s="130"/>
      <c r="K49" s="130"/>
      <c r="L49" s="130"/>
      <c r="M49" s="130"/>
    </row>
    <row r="50" spans="1:13" ht="16.5" customHeight="1" x14ac:dyDescent="0.45">
      <c r="A50" s="135"/>
      <c r="G50" s="199"/>
      <c r="H50" s="199"/>
      <c r="I50" s="199"/>
      <c r="J50" s="199"/>
      <c r="L50" s="199"/>
      <c r="M50" s="199"/>
    </row>
    <row r="51" spans="1:13" ht="16.5" customHeight="1" x14ac:dyDescent="0.45">
      <c r="A51" s="135"/>
      <c r="G51" s="199"/>
      <c r="H51" s="199"/>
      <c r="I51" s="199"/>
      <c r="J51" s="199"/>
      <c r="L51" s="199"/>
      <c r="M51" s="199"/>
    </row>
    <row r="52" spans="1:13" ht="16.5" customHeight="1" x14ac:dyDescent="0.4">
      <c r="A52" s="13"/>
      <c r="B52" s="24" t="s">
        <v>145</v>
      </c>
      <c r="C52" s="13"/>
      <c r="D52" s="24"/>
      <c r="F52" s="24" t="s">
        <v>145</v>
      </c>
      <c r="G52" s="200"/>
      <c r="H52" s="200"/>
      <c r="I52" s="200"/>
      <c r="J52" s="200"/>
      <c r="K52" s="200"/>
      <c r="L52" s="200"/>
      <c r="M52" s="200"/>
    </row>
    <row r="53" spans="1:13" ht="16.5" customHeight="1" x14ac:dyDescent="0.45">
      <c r="A53" s="240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</row>
    <row r="54" spans="1:13" ht="16.5" customHeight="1" x14ac:dyDescent="0.4">
      <c r="A54" s="18" t="s">
        <v>185</v>
      </c>
      <c r="B54" s="15"/>
      <c r="C54" s="15"/>
      <c r="D54" s="15"/>
      <c r="E54" s="197"/>
      <c r="F54" s="197"/>
      <c r="G54" s="14"/>
      <c r="H54" s="21"/>
      <c r="I54" s="14"/>
      <c r="J54" s="21"/>
      <c r="K54" s="14"/>
      <c r="L54" s="21"/>
      <c r="M54" s="14"/>
    </row>
    <row r="55" spans="1:13" ht="16.5" customHeight="1" x14ac:dyDescent="0.4">
      <c r="A55" s="201"/>
      <c r="C55" s="15" t="s">
        <v>357</v>
      </c>
      <c r="D55" s="15"/>
      <c r="E55" s="197">
        <v>11</v>
      </c>
      <c r="F55" s="197"/>
      <c r="G55" s="14">
        <v>-44.81</v>
      </c>
      <c r="H55" s="14"/>
      <c r="I55" s="14">
        <v>-80000017.689999998</v>
      </c>
      <c r="J55" s="14"/>
      <c r="K55" s="14">
        <v>0</v>
      </c>
      <c r="L55" s="14"/>
      <c r="M55" s="14">
        <v>-80000000</v>
      </c>
    </row>
    <row r="56" spans="1:13" s="15" customFormat="1" ht="16.5" customHeight="1" x14ac:dyDescent="0.4">
      <c r="C56" s="18" t="s">
        <v>319</v>
      </c>
      <c r="E56" s="202" t="s">
        <v>359</v>
      </c>
      <c r="F56" s="197"/>
      <c r="G56" s="14">
        <v>-303660</v>
      </c>
      <c r="H56" s="14"/>
      <c r="I56" s="14">
        <v>-21201.87</v>
      </c>
      <c r="J56" s="14"/>
      <c r="K56" s="14">
        <v>-303660</v>
      </c>
      <c r="L56" s="14"/>
      <c r="M56" s="14">
        <v>-21201.87</v>
      </c>
    </row>
    <row r="57" spans="1:13" s="15" customFormat="1" ht="16.5" customHeight="1" x14ac:dyDescent="0.4">
      <c r="C57" s="9" t="s">
        <v>259</v>
      </c>
      <c r="E57" s="202" t="s">
        <v>360</v>
      </c>
      <c r="F57" s="197"/>
      <c r="G57" s="14">
        <v>148850000</v>
      </c>
      <c r="H57" s="14"/>
      <c r="I57" s="14">
        <v>-70000000</v>
      </c>
      <c r="J57" s="14"/>
      <c r="K57" s="14">
        <v>148850000</v>
      </c>
      <c r="L57" s="14"/>
      <c r="M57" s="14">
        <v>-70000000</v>
      </c>
    </row>
    <row r="58" spans="1:13" s="15" customFormat="1" ht="16.5" customHeight="1" x14ac:dyDescent="0.4">
      <c r="C58" s="9" t="s">
        <v>260</v>
      </c>
      <c r="E58" s="202" t="s">
        <v>323</v>
      </c>
      <c r="F58" s="197"/>
      <c r="G58" s="14">
        <v>0</v>
      </c>
      <c r="H58" s="14"/>
      <c r="I58" s="14">
        <v>0</v>
      </c>
      <c r="J58" s="14"/>
      <c r="K58" s="14">
        <v>-213117352.78999999</v>
      </c>
      <c r="L58" s="14"/>
      <c r="M58" s="14">
        <v>94967850.299999997</v>
      </c>
    </row>
    <row r="59" spans="1:13" s="15" customFormat="1" ht="16.5" customHeight="1" x14ac:dyDescent="0.4">
      <c r="C59" s="9" t="s">
        <v>382</v>
      </c>
      <c r="E59" s="202"/>
      <c r="F59" s="197"/>
      <c r="G59" s="14">
        <v>4000000</v>
      </c>
      <c r="H59" s="14"/>
      <c r="I59" s="14">
        <v>5000000</v>
      </c>
      <c r="J59" s="14"/>
      <c r="K59" s="14">
        <v>4000000</v>
      </c>
      <c r="L59" s="14"/>
      <c r="M59" s="14">
        <v>5000000</v>
      </c>
    </row>
    <row r="60" spans="1:13" ht="16.5" customHeight="1" x14ac:dyDescent="0.4">
      <c r="A60" s="15"/>
      <c r="B60" s="15"/>
      <c r="C60" s="15"/>
      <c r="D60" s="18" t="s">
        <v>279</v>
      </c>
      <c r="E60" s="197"/>
      <c r="F60" s="197"/>
      <c r="G60" s="159">
        <f>SUM(G55:G59)</f>
        <v>152546295.19</v>
      </c>
      <c r="H60" s="21"/>
      <c r="I60" s="159">
        <f>SUM(I55:I59)</f>
        <v>-145021219.56</v>
      </c>
      <c r="J60" s="21"/>
      <c r="K60" s="159">
        <f>SUM(K55:K59)</f>
        <v>-60571012.789999992</v>
      </c>
      <c r="L60" s="21"/>
      <c r="M60" s="159">
        <f>SUM(M55:M59)</f>
        <v>-50053351.570000008</v>
      </c>
    </row>
    <row r="61" spans="1:13" ht="16.5" customHeight="1" x14ac:dyDescent="0.4">
      <c r="A61" s="18" t="s">
        <v>195</v>
      </c>
      <c r="B61" s="15"/>
      <c r="C61" s="15"/>
      <c r="D61" s="15"/>
      <c r="E61" s="195"/>
      <c r="F61" s="197"/>
      <c r="G61" s="156"/>
      <c r="H61" s="156"/>
      <c r="I61" s="156"/>
      <c r="J61" s="156"/>
      <c r="K61" s="156"/>
      <c r="L61" s="156"/>
      <c r="M61" s="156"/>
    </row>
    <row r="62" spans="1:13" ht="16.5" customHeight="1" x14ac:dyDescent="0.4">
      <c r="A62" s="203"/>
      <c r="B62" s="15"/>
      <c r="C62" s="15" t="s">
        <v>358</v>
      </c>
      <c r="D62" s="15"/>
      <c r="E62" s="6">
        <v>18</v>
      </c>
      <c r="F62" s="197"/>
      <c r="G62" s="156">
        <v>-19000000</v>
      </c>
      <c r="H62" s="156"/>
      <c r="I62" s="156">
        <v>140000000</v>
      </c>
      <c r="J62" s="156"/>
      <c r="K62" s="156">
        <v>-19000000</v>
      </c>
      <c r="L62" s="156"/>
      <c r="M62" s="156">
        <v>140000000</v>
      </c>
    </row>
    <row r="63" spans="1:13" ht="16.5" customHeight="1" x14ac:dyDescent="0.4">
      <c r="A63" s="203"/>
      <c r="B63" s="15"/>
      <c r="C63" s="15" t="s">
        <v>361</v>
      </c>
      <c r="D63" s="15"/>
      <c r="E63" s="6">
        <v>2.7</v>
      </c>
      <c r="F63" s="197"/>
      <c r="G63" s="156">
        <v>0</v>
      </c>
      <c r="H63" s="156"/>
      <c r="I63" s="156">
        <v>0</v>
      </c>
      <c r="J63" s="156"/>
      <c r="K63" s="156">
        <v>-9000000</v>
      </c>
      <c r="L63" s="156"/>
      <c r="M63" s="156">
        <v>0</v>
      </c>
    </row>
    <row r="64" spans="1:13" ht="16.5" customHeight="1" x14ac:dyDescent="0.4">
      <c r="A64" s="203"/>
      <c r="B64" s="15"/>
      <c r="C64" s="9" t="s">
        <v>362</v>
      </c>
      <c r="D64" s="15"/>
      <c r="E64" s="197">
        <v>20</v>
      </c>
      <c r="F64" s="197"/>
      <c r="G64" s="156">
        <v>-409692</v>
      </c>
      <c r="H64" s="156"/>
      <c r="I64" s="156">
        <v>-409692</v>
      </c>
      <c r="J64" s="156"/>
      <c r="K64" s="156">
        <v>-409692</v>
      </c>
      <c r="L64" s="156"/>
      <c r="M64" s="156">
        <v>-409692</v>
      </c>
    </row>
    <row r="65" spans="1:15" ht="16.5" customHeight="1" x14ac:dyDescent="0.4">
      <c r="A65" s="203"/>
      <c r="B65" s="15"/>
      <c r="C65" s="9" t="s">
        <v>383</v>
      </c>
      <c r="D65" s="15"/>
      <c r="E65" s="197">
        <v>25</v>
      </c>
      <c r="F65" s="197"/>
      <c r="G65" s="204">
        <v>-139725340.78</v>
      </c>
      <c r="H65" s="156"/>
      <c r="I65" s="204">
        <v>-69862240.180000007</v>
      </c>
      <c r="J65" s="156"/>
      <c r="K65" s="204">
        <v>-139725340.78</v>
      </c>
      <c r="L65" s="156"/>
      <c r="M65" s="204">
        <v>-69862240.180000007</v>
      </c>
    </row>
    <row r="66" spans="1:15" ht="16.5" customHeight="1" x14ac:dyDescent="0.4">
      <c r="A66" s="15"/>
      <c r="B66" s="15"/>
      <c r="C66" s="15"/>
      <c r="D66" s="18" t="s">
        <v>199</v>
      </c>
      <c r="E66" s="197"/>
      <c r="F66" s="197"/>
      <c r="G66" s="157">
        <f>SUM(G62:G65)</f>
        <v>-159135032.78</v>
      </c>
      <c r="H66" s="21"/>
      <c r="I66" s="157">
        <f>SUM(I62:I65)</f>
        <v>69728067.819999993</v>
      </c>
      <c r="J66" s="21"/>
      <c r="K66" s="157">
        <f>SUM(K62:K65)</f>
        <v>-168135032.78</v>
      </c>
      <c r="L66" s="21"/>
      <c r="M66" s="157">
        <f>SUM(M62:M65)</f>
        <v>69728067.819999993</v>
      </c>
    </row>
    <row r="67" spans="1:15" ht="16.5" customHeight="1" x14ac:dyDescent="0.4">
      <c r="A67" s="15" t="s">
        <v>173</v>
      </c>
      <c r="B67" s="15"/>
      <c r="C67" s="15"/>
      <c r="D67" s="15"/>
      <c r="E67" s="197"/>
      <c r="F67" s="197"/>
      <c r="G67" s="157">
        <v>23110743.059999999</v>
      </c>
      <c r="H67" s="21"/>
      <c r="I67" s="157">
        <v>1032496.18</v>
      </c>
      <c r="J67" s="21"/>
      <c r="K67" s="157">
        <v>0</v>
      </c>
      <c r="L67" s="21"/>
      <c r="M67" s="157">
        <v>0</v>
      </c>
    </row>
    <row r="68" spans="1:15" ht="16.5" customHeight="1" x14ac:dyDescent="0.4">
      <c r="A68" s="18" t="s">
        <v>186</v>
      </c>
      <c r="B68" s="15"/>
      <c r="C68" s="15"/>
      <c r="D68" s="15"/>
      <c r="E68" s="197"/>
      <c r="F68" s="197"/>
      <c r="G68" s="160">
        <f>+G66+G60+G46+G67</f>
        <v>-284641110.2899999</v>
      </c>
      <c r="H68" s="14"/>
      <c r="I68" s="160">
        <f>+I66+I60+I46+I67</f>
        <v>79775474.869999975</v>
      </c>
      <c r="J68" s="14"/>
      <c r="K68" s="160">
        <f>+K66+K60+K46+K67</f>
        <v>-264948460.38999999</v>
      </c>
      <c r="L68" s="14"/>
      <c r="M68" s="160">
        <f>+M66+M60+M46+M67</f>
        <v>106104815.49000001</v>
      </c>
    </row>
    <row r="69" spans="1:15" ht="16.5" customHeight="1" x14ac:dyDescent="0.4">
      <c r="A69" s="18" t="s">
        <v>339</v>
      </c>
      <c r="B69" s="15"/>
      <c r="C69" s="15"/>
      <c r="D69" s="15"/>
      <c r="E69" s="197"/>
      <c r="F69" s="197"/>
      <c r="G69" s="160">
        <v>414056925.31999999</v>
      </c>
      <c r="H69" s="14"/>
      <c r="I69" s="160">
        <v>193802583.52000001</v>
      </c>
      <c r="J69" s="14"/>
      <c r="K69" s="14">
        <v>290505114.75999999</v>
      </c>
      <c r="L69" s="14"/>
      <c r="M69" s="14">
        <v>58130055.630000003</v>
      </c>
      <c r="O69" s="11"/>
    </row>
    <row r="70" spans="1:15" ht="16.5" customHeight="1" thickBot="1" x14ac:dyDescent="0.45">
      <c r="A70" s="18" t="s">
        <v>340</v>
      </c>
      <c r="B70" s="15"/>
      <c r="C70" s="15"/>
      <c r="D70" s="15"/>
      <c r="E70" s="197"/>
      <c r="F70" s="197"/>
      <c r="G70" s="161">
        <f>SUM(G68:G69)</f>
        <v>129415815.03000009</v>
      </c>
      <c r="H70" s="14"/>
      <c r="I70" s="161">
        <f>SUM(I68:I69)</f>
        <v>273578058.38999999</v>
      </c>
      <c r="J70" s="14"/>
      <c r="K70" s="161">
        <f>SUM(K68:K69)</f>
        <v>25556654.370000005</v>
      </c>
      <c r="L70" s="14"/>
      <c r="M70" s="161">
        <f>SUM(M68:M69)</f>
        <v>164234871.12</v>
      </c>
    </row>
    <row r="71" spans="1:15" ht="16.5" customHeight="1" thickTop="1" x14ac:dyDescent="0.4">
      <c r="E71" s="8"/>
      <c r="F71" s="8"/>
      <c r="G71" s="156"/>
      <c r="H71" s="156"/>
      <c r="I71" s="156"/>
      <c r="J71" s="156"/>
      <c r="K71" s="156"/>
      <c r="L71" s="156"/>
      <c r="M71" s="156"/>
    </row>
    <row r="72" spans="1:15" ht="16.5" customHeight="1" x14ac:dyDescent="0.4">
      <c r="A72" s="18" t="s">
        <v>310</v>
      </c>
      <c r="E72" s="202"/>
      <c r="F72" s="8"/>
      <c r="G72" s="129"/>
      <c r="H72" s="129"/>
      <c r="I72" s="129"/>
      <c r="J72" s="129"/>
      <c r="K72" s="129"/>
      <c r="L72" s="129"/>
      <c r="M72" s="129"/>
    </row>
    <row r="73" spans="1:15" ht="16.5" customHeight="1" x14ac:dyDescent="0.4">
      <c r="B73" s="205" t="s">
        <v>364</v>
      </c>
      <c r="E73" s="202" t="s">
        <v>384</v>
      </c>
      <c r="F73" s="8"/>
      <c r="G73" s="14">
        <v>255454603.5</v>
      </c>
      <c r="H73" s="14"/>
      <c r="I73" s="14">
        <v>129564677.41</v>
      </c>
      <c r="J73" s="14"/>
      <c r="K73" s="14">
        <v>33787.26</v>
      </c>
      <c r="L73" s="14"/>
      <c r="M73" s="14">
        <v>4284.75</v>
      </c>
    </row>
    <row r="74" spans="1:15" ht="16.5" customHeight="1" x14ac:dyDescent="0.4">
      <c r="B74" s="18" t="s">
        <v>366</v>
      </c>
      <c r="E74" s="202" t="s">
        <v>363</v>
      </c>
      <c r="F74" s="8"/>
      <c r="G74" s="14">
        <v>80509722.400000006</v>
      </c>
      <c r="H74" s="129"/>
      <c r="I74" s="14">
        <v>0</v>
      </c>
      <c r="J74" s="14"/>
      <c r="K74" s="14">
        <v>0</v>
      </c>
      <c r="L74" s="14"/>
      <c r="M74" s="14">
        <v>0</v>
      </c>
    </row>
    <row r="75" spans="1:15" ht="16.5" customHeight="1" x14ac:dyDescent="0.4">
      <c r="B75" s="15"/>
      <c r="E75" s="202"/>
      <c r="F75" s="8"/>
      <c r="G75" s="129"/>
      <c r="H75" s="129"/>
      <c r="I75" s="129"/>
      <c r="J75" s="129"/>
      <c r="K75" s="129"/>
      <c r="L75" s="129"/>
      <c r="M75" s="129"/>
    </row>
    <row r="76" spans="1:15" ht="16.5" customHeight="1" x14ac:dyDescent="0.4">
      <c r="B76" s="9"/>
      <c r="E76" s="202"/>
      <c r="F76" s="8"/>
      <c r="G76" s="129"/>
      <c r="H76" s="129"/>
      <c r="I76" s="129"/>
      <c r="J76" s="129"/>
      <c r="K76" s="129"/>
      <c r="L76" s="129"/>
      <c r="M76" s="129"/>
    </row>
    <row r="77" spans="1:15" ht="16.5" customHeight="1" x14ac:dyDescent="0.4">
      <c r="B77" s="15"/>
      <c r="E77" s="202"/>
      <c r="F77" s="8"/>
      <c r="G77" s="129"/>
      <c r="H77" s="129"/>
      <c r="I77" s="129"/>
      <c r="J77" s="129"/>
      <c r="K77" s="129"/>
      <c r="L77" s="129"/>
      <c r="M77" s="129"/>
    </row>
    <row r="78" spans="1:15" ht="16.5" customHeight="1" x14ac:dyDescent="0.4">
      <c r="B78" s="15"/>
      <c r="E78" s="202"/>
      <c r="F78" s="8"/>
      <c r="G78" s="129"/>
      <c r="H78" s="129"/>
      <c r="I78" s="129"/>
      <c r="J78" s="129"/>
      <c r="K78" s="129"/>
      <c r="L78" s="129"/>
      <c r="M78" s="129"/>
    </row>
    <row r="79" spans="1:15" ht="16.5" customHeight="1" x14ac:dyDescent="0.4">
      <c r="B79" s="15"/>
      <c r="E79" s="202"/>
      <c r="F79" s="8"/>
      <c r="G79" s="129"/>
      <c r="H79" s="129"/>
      <c r="I79" s="129"/>
      <c r="J79" s="129"/>
      <c r="K79" s="129"/>
      <c r="L79" s="129"/>
      <c r="M79" s="129"/>
    </row>
    <row r="80" spans="1:15" ht="16.5" customHeight="1" x14ac:dyDescent="0.4">
      <c r="B80" s="15"/>
      <c r="E80" s="202"/>
      <c r="F80" s="8"/>
      <c r="G80" s="129"/>
      <c r="H80" s="129"/>
      <c r="I80" s="129"/>
      <c r="J80" s="129"/>
      <c r="K80" s="129"/>
      <c r="L80" s="129"/>
      <c r="M80" s="129"/>
    </row>
    <row r="81" spans="1:13" ht="16.5" customHeight="1" x14ac:dyDescent="0.4">
      <c r="B81" s="15"/>
      <c r="E81" s="202"/>
      <c r="F81" s="8"/>
      <c r="G81" s="129"/>
      <c r="H81" s="129"/>
      <c r="I81" s="129"/>
      <c r="J81" s="129"/>
      <c r="K81" s="129"/>
      <c r="L81" s="129"/>
      <c r="M81" s="129"/>
    </row>
    <row r="82" spans="1:13" ht="16.5" customHeight="1" x14ac:dyDescent="0.4">
      <c r="B82" s="15"/>
      <c r="E82" s="202"/>
      <c r="F82" s="8"/>
      <c r="G82" s="129"/>
      <c r="H82" s="129"/>
      <c r="I82" s="129"/>
      <c r="J82" s="129"/>
      <c r="K82" s="129"/>
      <c r="L82" s="129"/>
      <c r="M82" s="129"/>
    </row>
    <row r="83" spans="1:13" ht="16.5" customHeight="1" x14ac:dyDescent="0.4">
      <c r="B83" s="205"/>
      <c r="E83" s="202"/>
      <c r="F83" s="8"/>
      <c r="G83" s="14"/>
      <c r="H83" s="14"/>
      <c r="I83" s="14"/>
      <c r="J83" s="14"/>
      <c r="K83" s="14"/>
      <c r="L83" s="14"/>
      <c r="M83" s="14"/>
    </row>
    <row r="84" spans="1:13" ht="16.5" customHeight="1" x14ac:dyDescent="0.4">
      <c r="B84" s="205"/>
      <c r="E84" s="202"/>
      <c r="F84" s="8"/>
      <c r="G84" s="14"/>
      <c r="H84" s="14"/>
      <c r="I84" s="14"/>
      <c r="J84" s="14"/>
      <c r="K84" s="14"/>
      <c r="L84" s="14"/>
      <c r="M84" s="14"/>
    </row>
    <row r="85" spans="1:13" ht="16.5" customHeight="1" x14ac:dyDescent="0.4">
      <c r="B85" s="205"/>
      <c r="E85" s="202"/>
      <c r="F85" s="8"/>
      <c r="G85" s="14"/>
      <c r="H85" s="14"/>
      <c r="I85" s="14"/>
      <c r="J85" s="14"/>
      <c r="K85" s="14"/>
      <c r="L85" s="14"/>
      <c r="M85" s="14"/>
    </row>
    <row r="86" spans="1:13" ht="16.5" customHeight="1" x14ac:dyDescent="0.4">
      <c r="B86" s="205"/>
      <c r="E86" s="202"/>
      <c r="F86" s="8"/>
      <c r="G86" s="14"/>
      <c r="H86" s="14"/>
      <c r="I86" s="14"/>
      <c r="J86" s="14"/>
      <c r="K86" s="14"/>
      <c r="L86" s="14"/>
      <c r="M86" s="14"/>
    </row>
    <row r="87" spans="1:13" ht="16.5" customHeight="1" x14ac:dyDescent="0.4">
      <c r="B87" s="205"/>
      <c r="E87" s="202"/>
      <c r="F87" s="8"/>
      <c r="G87" s="14"/>
      <c r="H87" s="14"/>
      <c r="I87" s="14"/>
      <c r="J87" s="14"/>
      <c r="K87" s="14"/>
      <c r="L87" s="14"/>
      <c r="M87" s="14"/>
    </row>
    <row r="88" spans="1:13" ht="16.5" customHeight="1" x14ac:dyDescent="0.4">
      <c r="B88" s="205"/>
      <c r="E88" s="202"/>
      <c r="F88" s="8"/>
      <c r="G88" s="14"/>
      <c r="H88" s="14"/>
      <c r="I88" s="14"/>
      <c r="J88" s="14"/>
      <c r="K88" s="14"/>
      <c r="L88" s="14"/>
      <c r="M88" s="14"/>
    </row>
    <row r="89" spans="1:13" ht="16.5" customHeight="1" x14ac:dyDescent="0.4">
      <c r="B89" s="205"/>
      <c r="E89" s="202"/>
      <c r="F89" s="8"/>
      <c r="G89" s="14"/>
      <c r="H89" s="14"/>
      <c r="I89" s="14"/>
      <c r="J89" s="14"/>
      <c r="K89" s="14"/>
      <c r="L89" s="14"/>
      <c r="M89" s="14"/>
    </row>
    <row r="90" spans="1:13" ht="16.5" customHeight="1" x14ac:dyDescent="0.4">
      <c r="E90" s="202"/>
      <c r="F90" s="8"/>
      <c r="G90" s="129"/>
      <c r="H90" s="129"/>
      <c r="I90" s="129"/>
      <c r="J90" s="129"/>
      <c r="K90" s="129"/>
      <c r="L90" s="129"/>
      <c r="M90" s="129"/>
    </row>
    <row r="91" spans="1:13" ht="16.5" customHeight="1" x14ac:dyDescent="0.4">
      <c r="A91" s="15" t="str">
        <f>+A48</f>
        <v>The accompanying interim notes to financial statements are an integral part of these interim financial statements.</v>
      </c>
      <c r="E91" s="202"/>
      <c r="F91" s="8"/>
      <c r="G91" s="129"/>
      <c r="H91" s="129"/>
      <c r="I91" s="129"/>
      <c r="J91" s="129"/>
      <c r="K91" s="129"/>
      <c r="L91" s="129"/>
      <c r="M91" s="129"/>
    </row>
    <row r="92" spans="1:13" ht="16.5" customHeight="1" x14ac:dyDescent="0.4">
      <c r="F92" s="8"/>
      <c r="G92" s="129"/>
      <c r="H92" s="129"/>
      <c r="I92" s="129"/>
      <c r="J92" s="129"/>
      <c r="K92" s="129"/>
      <c r="L92" s="129"/>
      <c r="M92" s="129"/>
    </row>
    <row r="93" spans="1:13" ht="16.5" customHeight="1" x14ac:dyDescent="0.4">
      <c r="G93" s="199"/>
      <c r="H93" s="199"/>
      <c r="I93" s="199"/>
      <c r="J93" s="199"/>
      <c r="L93" s="199"/>
      <c r="M93" s="199"/>
    </row>
    <row r="94" spans="1:13" ht="16.5" customHeight="1" x14ac:dyDescent="0.45">
      <c r="A94" s="135"/>
      <c r="G94" s="199"/>
      <c r="H94" s="199"/>
      <c r="I94" s="199"/>
      <c r="J94" s="199"/>
      <c r="L94" s="199"/>
      <c r="M94" s="199"/>
    </row>
    <row r="95" spans="1:13" ht="16.5" customHeight="1" x14ac:dyDescent="0.45">
      <c r="A95" s="135"/>
      <c r="G95" s="199"/>
      <c r="H95" s="199"/>
      <c r="I95" s="199"/>
      <c r="J95" s="199"/>
      <c r="L95" s="199"/>
      <c r="M95" s="199"/>
    </row>
    <row r="96" spans="1:13" ht="16.5" customHeight="1" x14ac:dyDescent="0.4">
      <c r="A96" s="131"/>
      <c r="B96" s="24" t="s">
        <v>145</v>
      </c>
      <c r="C96" s="13"/>
      <c r="D96" s="24"/>
      <c r="F96" s="24" t="s">
        <v>145</v>
      </c>
      <c r="G96" s="200"/>
      <c r="H96" s="200"/>
      <c r="I96" s="200"/>
      <c r="J96" s="200"/>
      <c r="K96" s="200"/>
      <c r="L96" s="200"/>
      <c r="M96" s="200"/>
    </row>
    <row r="97" spans="1:16" ht="16.5" customHeight="1" x14ac:dyDescent="0.4">
      <c r="A97" s="9"/>
      <c r="G97" s="199"/>
      <c r="H97" s="199"/>
      <c r="I97" s="199"/>
      <c r="J97" s="199"/>
      <c r="L97" s="199"/>
      <c r="M97" s="199"/>
    </row>
    <row r="98" spans="1:16" s="3" customFormat="1" ht="16.5" customHeight="1" x14ac:dyDescent="0.45">
      <c r="A98" s="241"/>
      <c r="B98" s="241"/>
      <c r="C98" s="241"/>
      <c r="D98" s="241"/>
      <c r="E98" s="241"/>
      <c r="F98" s="241"/>
      <c r="G98" s="241"/>
      <c r="H98" s="241"/>
      <c r="I98" s="241"/>
      <c r="J98" s="241"/>
      <c r="K98" s="241"/>
      <c r="L98" s="241"/>
      <c r="M98" s="241"/>
      <c r="P98" s="7"/>
    </row>
    <row r="99" spans="1:16" ht="16.5" hidden="1" customHeight="1" x14ac:dyDescent="0.4">
      <c r="E99" s="8"/>
      <c r="F99" s="8"/>
      <c r="G99" s="199"/>
      <c r="H99" s="199"/>
      <c r="I99" s="199"/>
      <c r="J99" s="199"/>
      <c r="L99" s="199"/>
      <c r="M99" s="199"/>
    </row>
    <row r="100" spans="1:16" ht="16.5" hidden="1" customHeight="1" x14ac:dyDescent="0.4">
      <c r="D100" s="10" t="s">
        <v>216</v>
      </c>
      <c r="E100" s="8"/>
      <c r="F100" s="8"/>
      <c r="G100" s="129">
        <v>129415815.03</v>
      </c>
      <c r="H100" s="130"/>
      <c r="I100" s="129">
        <v>273578058.38999999</v>
      </c>
      <c r="J100" s="130"/>
      <c r="K100" s="129">
        <v>25556654.370000001</v>
      </c>
      <c r="L100" s="129"/>
      <c r="M100" s="129">
        <v>164234871.12</v>
      </c>
    </row>
    <row r="101" spans="1:16" ht="16.5" hidden="1" customHeight="1" x14ac:dyDescent="0.4">
      <c r="D101" s="10" t="s">
        <v>217</v>
      </c>
      <c r="E101" s="8"/>
      <c r="F101" s="8"/>
      <c r="G101" s="129">
        <f>+G100-G70</f>
        <v>0</v>
      </c>
      <c r="H101" s="129"/>
      <c r="I101" s="129">
        <f>+I100-I70</f>
        <v>0</v>
      </c>
      <c r="J101" s="129"/>
      <c r="K101" s="129">
        <f>+K100-K70</f>
        <v>0</v>
      </c>
      <c r="L101" s="129"/>
      <c r="M101" s="129">
        <f>+M100-M70</f>
        <v>0</v>
      </c>
    </row>
    <row r="102" spans="1:16" ht="16.5" customHeight="1" x14ac:dyDescent="0.4">
      <c r="E102" s="8"/>
      <c r="F102" s="8"/>
      <c r="G102" s="199"/>
      <c r="H102" s="199"/>
      <c r="I102" s="199"/>
      <c r="J102" s="199"/>
      <c r="L102" s="199"/>
      <c r="M102" s="199"/>
    </row>
    <row r="103" spans="1:16" ht="16.5" customHeight="1" x14ac:dyDescent="0.4">
      <c r="E103" s="8"/>
      <c r="F103" s="8"/>
      <c r="G103" s="199"/>
      <c r="H103" s="199"/>
      <c r="I103" s="199"/>
      <c r="J103" s="199"/>
      <c r="L103" s="199"/>
      <c r="M103" s="199"/>
    </row>
    <row r="104" spans="1:16" ht="16.5" customHeight="1" x14ac:dyDescent="0.4">
      <c r="E104" s="8"/>
      <c r="F104" s="8"/>
      <c r="G104" s="199"/>
      <c r="H104" s="199"/>
      <c r="I104" s="199"/>
      <c r="J104" s="199"/>
      <c r="L104" s="199"/>
      <c r="M104" s="199"/>
    </row>
    <row r="105" spans="1:16" ht="16.5" customHeight="1" x14ac:dyDescent="0.4">
      <c r="E105" s="8"/>
      <c r="F105" s="8"/>
      <c r="G105" s="199"/>
      <c r="H105" s="199"/>
      <c r="I105" s="199"/>
      <c r="J105" s="199"/>
      <c r="L105" s="199"/>
      <c r="M105" s="199"/>
    </row>
    <row r="106" spans="1:16" ht="16.5" customHeight="1" x14ac:dyDescent="0.4">
      <c r="E106" s="8"/>
      <c r="F106" s="8"/>
      <c r="G106" s="199"/>
      <c r="H106" s="199"/>
      <c r="I106" s="199"/>
      <c r="J106" s="199"/>
      <c r="L106" s="199"/>
      <c r="M106" s="199"/>
    </row>
    <row r="107" spans="1:16" ht="16.5" customHeight="1" x14ac:dyDescent="0.4">
      <c r="E107" s="8"/>
      <c r="F107" s="8"/>
      <c r="G107" s="199"/>
      <c r="H107" s="199"/>
      <c r="I107" s="199"/>
      <c r="J107" s="199"/>
      <c r="L107" s="199"/>
      <c r="M107" s="199"/>
    </row>
    <row r="108" spans="1:16" ht="16.5" customHeight="1" x14ac:dyDescent="0.4">
      <c r="E108" s="8"/>
      <c r="F108" s="8"/>
    </row>
    <row r="109" spans="1:16" ht="16.5" customHeight="1" x14ac:dyDescent="0.4">
      <c r="E109" s="8"/>
      <c r="F109" s="8"/>
    </row>
    <row r="110" spans="1:16" ht="16.5" customHeight="1" x14ac:dyDescent="0.4">
      <c r="E110" s="8"/>
      <c r="F110" s="8"/>
    </row>
    <row r="111" spans="1:16" ht="16.5" customHeight="1" x14ac:dyDescent="0.4">
      <c r="E111" s="8"/>
      <c r="F111" s="8"/>
    </row>
    <row r="112" spans="1:16" ht="16.5" customHeight="1" x14ac:dyDescent="0.4">
      <c r="E112" s="8"/>
      <c r="F112" s="8"/>
    </row>
    <row r="113" spans="5:6" ht="16.5" customHeight="1" x14ac:dyDescent="0.4">
      <c r="E113" s="8"/>
      <c r="F113" s="8"/>
    </row>
    <row r="114" spans="5:6" ht="16.5" customHeight="1" x14ac:dyDescent="0.4">
      <c r="E114" s="8"/>
      <c r="F114" s="8"/>
    </row>
    <row r="115" spans="5:6" ht="16.5" customHeight="1" x14ac:dyDescent="0.4">
      <c r="E115" s="8"/>
      <c r="F115" s="8"/>
    </row>
    <row r="116" spans="5:6" ht="16.5" customHeight="1" x14ac:dyDescent="0.4">
      <c r="E116" s="8"/>
      <c r="F116" s="8"/>
    </row>
    <row r="117" spans="5:6" ht="16.5" customHeight="1" x14ac:dyDescent="0.4">
      <c r="E117" s="8"/>
      <c r="F117" s="8"/>
    </row>
    <row r="118" spans="5:6" ht="16.5" customHeight="1" x14ac:dyDescent="0.4">
      <c r="E118" s="8"/>
      <c r="F118" s="8"/>
    </row>
    <row r="119" spans="5:6" ht="16.5" customHeight="1" x14ac:dyDescent="0.4">
      <c r="E119" s="8"/>
      <c r="F119" s="8"/>
    </row>
    <row r="120" spans="5:6" ht="16.5" customHeight="1" x14ac:dyDescent="0.4">
      <c r="E120" s="8"/>
      <c r="F120" s="8"/>
    </row>
    <row r="121" spans="5:6" ht="16.5" customHeight="1" x14ac:dyDescent="0.4">
      <c r="E121" s="8"/>
      <c r="F121" s="8"/>
    </row>
    <row r="122" spans="5:6" ht="16.5" customHeight="1" x14ac:dyDescent="0.4">
      <c r="E122" s="8"/>
      <c r="F122" s="8"/>
    </row>
    <row r="123" spans="5:6" ht="16.5" customHeight="1" x14ac:dyDescent="0.4">
      <c r="E123" s="8"/>
      <c r="F123" s="8"/>
    </row>
    <row r="124" spans="5:6" ht="16.5" customHeight="1" x14ac:dyDescent="0.4">
      <c r="E124" s="8"/>
      <c r="F124" s="8"/>
    </row>
    <row r="125" spans="5:6" ht="16.5" customHeight="1" x14ac:dyDescent="0.4">
      <c r="E125" s="8"/>
      <c r="F125" s="8"/>
    </row>
    <row r="126" spans="5:6" ht="16.5" customHeight="1" x14ac:dyDescent="0.4">
      <c r="E126" s="8"/>
      <c r="F126" s="8"/>
    </row>
    <row r="127" spans="5:6" ht="16.5" customHeight="1" x14ac:dyDescent="0.4">
      <c r="E127" s="8"/>
      <c r="F127" s="8"/>
    </row>
  </sheetData>
  <mergeCells count="11">
    <mergeCell ref="K1:M1"/>
    <mergeCell ref="A53:M53"/>
    <mergeCell ref="A98:M98"/>
    <mergeCell ref="A2:M2"/>
    <mergeCell ref="G5:M5"/>
    <mergeCell ref="G6:I6"/>
    <mergeCell ref="K6:M6"/>
    <mergeCell ref="A3:M3"/>
    <mergeCell ref="A4:M4"/>
    <mergeCell ref="G7:I7"/>
    <mergeCell ref="K7:M7"/>
  </mergeCells>
  <phoneticPr fontId="0" type="noConversion"/>
  <pageMargins left="0.43" right="0" top="0.53" bottom="0.22" header="0.7" footer="0.13"/>
  <pageSetup paperSize="9" scale="93" firstPageNumber="10" orientation="portrait" useFirstPageNumber="1" r:id="rId1"/>
  <headerFooter alignWithMargins="0">
    <oddFooter>&amp;C&amp;P</oddFooter>
  </headerFooter>
  <rowBreaks count="1" manualBreakCount="1">
    <brk id="53" max="12" man="1"/>
  </rowBreaks>
  <ignoredErrors>
    <ignoredError sqref="E60:F60" numberStoredAsText="1"/>
    <ignoredError sqref="H60 L60 J60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ColWidth="9.140625" defaultRowHeight="21" x14ac:dyDescent="0.45"/>
  <cols>
    <col min="1" max="1" width="41.140625" style="86" customWidth="1"/>
    <col min="2" max="2" width="13.42578125" style="102" bestFit="1" customWidth="1"/>
    <col min="3" max="3" width="13.85546875" style="82" bestFit="1" customWidth="1"/>
    <col min="4" max="4" width="14.85546875" style="87" bestFit="1" customWidth="1"/>
    <col min="5" max="6" width="12.7109375" style="82" customWidth="1"/>
    <col min="7" max="7" width="14.85546875" style="82" bestFit="1" customWidth="1"/>
    <col min="8" max="8" width="15.28515625" style="85" customWidth="1"/>
    <col min="9" max="10" width="12.7109375" style="82" customWidth="1"/>
    <col min="11" max="11" width="2.28515625" style="86" customWidth="1"/>
    <col min="12" max="13" width="12.7109375" style="86" customWidth="1"/>
    <col min="14" max="16384" width="9.140625" style="86"/>
  </cols>
  <sheetData>
    <row r="1" spans="1:10" x14ac:dyDescent="0.45">
      <c r="A1" s="80" t="s">
        <v>52</v>
      </c>
      <c r="B1" s="81"/>
      <c r="D1" s="83"/>
      <c r="E1" s="84"/>
      <c r="F1" s="84"/>
    </row>
    <row r="2" spans="1:10" ht="21.75" customHeight="1" x14ac:dyDescent="0.45">
      <c r="A2" s="80" t="s">
        <v>89</v>
      </c>
      <c r="B2" s="81"/>
    </row>
    <row r="3" spans="1:10" ht="21.75" customHeight="1" x14ac:dyDescent="0.45">
      <c r="A3" s="88" t="s">
        <v>69</v>
      </c>
      <c r="B3" s="89"/>
      <c r="C3" s="90"/>
      <c r="D3" s="91"/>
      <c r="E3" s="90"/>
      <c r="F3" s="90"/>
      <c r="G3" s="90"/>
      <c r="H3" s="92"/>
      <c r="I3" s="90"/>
      <c r="J3" s="90"/>
    </row>
    <row r="4" spans="1:10" ht="21.75" customHeight="1" x14ac:dyDescent="0.45">
      <c r="A4" s="93"/>
      <c r="B4" s="81"/>
      <c r="H4" s="244" t="s">
        <v>71</v>
      </c>
      <c r="I4" s="244"/>
    </row>
    <row r="5" spans="1:10" s="95" customFormat="1" ht="24" customHeight="1" x14ac:dyDescent="0.45">
      <c r="B5" s="96" t="s">
        <v>63</v>
      </c>
      <c r="C5" s="94" t="s">
        <v>64</v>
      </c>
      <c r="D5" s="89" t="s">
        <v>65</v>
      </c>
      <c r="E5" s="94" t="s">
        <v>67</v>
      </c>
      <c r="F5" s="94" t="s">
        <v>66</v>
      </c>
      <c r="G5" s="94" t="s">
        <v>27</v>
      </c>
      <c r="H5" s="97" t="s">
        <v>72</v>
      </c>
      <c r="I5" s="84" t="s">
        <v>73</v>
      </c>
      <c r="J5" s="90" t="s">
        <v>33</v>
      </c>
    </row>
    <row r="6" spans="1:10" s="95" customFormat="1" ht="24.75" customHeight="1" x14ac:dyDescent="0.45">
      <c r="A6" s="98" t="s">
        <v>90</v>
      </c>
      <c r="B6" s="99"/>
      <c r="C6" s="84"/>
      <c r="D6" s="83"/>
      <c r="E6" s="84"/>
      <c r="F6" s="84"/>
      <c r="G6" s="84"/>
      <c r="H6" s="100"/>
      <c r="I6" s="84"/>
      <c r="J6" s="82"/>
    </row>
    <row r="7" spans="1:10" s="95" customFormat="1" ht="18" customHeight="1" x14ac:dyDescent="0.45">
      <c r="B7" s="99"/>
      <c r="C7" s="84"/>
      <c r="D7" s="83"/>
      <c r="E7" s="101">
        <v>25000</v>
      </c>
      <c r="F7" s="101">
        <v>250000</v>
      </c>
      <c r="G7" s="84"/>
      <c r="H7" s="100"/>
      <c r="I7" s="84"/>
      <c r="J7" s="82"/>
    </row>
    <row r="8" spans="1:10" x14ac:dyDescent="0.45">
      <c r="A8" s="86" t="s">
        <v>98</v>
      </c>
      <c r="B8" s="102">
        <v>4250000</v>
      </c>
      <c r="C8" s="82">
        <v>10000000</v>
      </c>
      <c r="D8" s="87">
        <v>42940000</v>
      </c>
      <c r="E8" s="82">
        <f>+E7*36.48</f>
        <v>911999.99999999988</v>
      </c>
      <c r="F8" s="82">
        <f>+F7*35.32</f>
        <v>8830000</v>
      </c>
    </row>
    <row r="9" spans="1:10" x14ac:dyDescent="0.45">
      <c r="A9" s="86" t="s">
        <v>128</v>
      </c>
      <c r="B9" s="102">
        <v>533031.27</v>
      </c>
      <c r="C9" s="82">
        <v>-11662591.75</v>
      </c>
      <c r="D9" s="87">
        <v>-18618021.34</v>
      </c>
      <c r="E9" s="82">
        <v>0</v>
      </c>
      <c r="F9" s="82">
        <v>0</v>
      </c>
    </row>
    <row r="10" spans="1:10" x14ac:dyDescent="0.45">
      <c r="A10" s="86" t="s">
        <v>91</v>
      </c>
      <c r="B10" s="102">
        <v>99.99</v>
      </c>
      <c r="C10" s="82">
        <v>49.99</v>
      </c>
      <c r="D10" s="87">
        <v>99.99</v>
      </c>
      <c r="E10" s="82">
        <v>100</v>
      </c>
      <c r="F10" s="82">
        <v>51</v>
      </c>
    </row>
    <row r="11" spans="1:10" x14ac:dyDescent="0.45">
      <c r="A11" s="103" t="s">
        <v>92</v>
      </c>
      <c r="B11" s="91">
        <f>+B10*B8/100</f>
        <v>4249575</v>
      </c>
      <c r="C11" s="91">
        <f>+C10*C8/100</f>
        <v>4999000</v>
      </c>
      <c r="D11" s="91">
        <f>+D10*D8/100</f>
        <v>42935706</v>
      </c>
      <c r="E11" s="91">
        <f>+E10*E8/100</f>
        <v>911999.99999999988</v>
      </c>
      <c r="F11" s="91">
        <f>+F10*F8/100</f>
        <v>4503300</v>
      </c>
      <c r="G11" s="90"/>
      <c r="H11" s="104"/>
    </row>
    <row r="12" spans="1:10" x14ac:dyDescent="0.45">
      <c r="A12" s="86" t="s">
        <v>97</v>
      </c>
      <c r="B12" s="105">
        <v>4001000</v>
      </c>
      <c r="C12" s="106">
        <v>1250375</v>
      </c>
      <c r="D12" s="107">
        <f>24321978.66+21431024.34</f>
        <v>45753003</v>
      </c>
      <c r="E12" s="106">
        <v>912000</v>
      </c>
      <c r="F12" s="106">
        <v>4503300</v>
      </c>
      <c r="G12" s="108">
        <f t="shared" ref="G12:G17" si="0">+SUM(B12:F12)</f>
        <v>56419678</v>
      </c>
    </row>
    <row r="13" spans="1:10" x14ac:dyDescent="0.45">
      <c r="A13" s="109" t="s">
        <v>93</v>
      </c>
      <c r="B13" s="110">
        <v>4782963.74</v>
      </c>
      <c r="C13" s="91">
        <v>-1662591.75</v>
      </c>
      <c r="D13" s="91">
        <v>24321978.66</v>
      </c>
      <c r="E13" s="91">
        <v>899000</v>
      </c>
      <c r="F13" s="91">
        <v>4584900</v>
      </c>
      <c r="G13" s="111">
        <f t="shared" si="0"/>
        <v>32926250.649999999</v>
      </c>
      <c r="H13" s="104"/>
    </row>
    <row r="14" spans="1:10" x14ac:dyDescent="0.45">
      <c r="A14" s="112" t="s">
        <v>9</v>
      </c>
      <c r="B14" s="113">
        <f>+B13-B12</f>
        <v>781963.74000000022</v>
      </c>
      <c r="C14" s="113">
        <f>+C13-C12</f>
        <v>-2912966.75</v>
      </c>
      <c r="D14" s="113">
        <f>+D13-D12</f>
        <v>-21431024.34</v>
      </c>
      <c r="E14" s="113">
        <f>+E13-E12</f>
        <v>-13000</v>
      </c>
      <c r="F14" s="113">
        <f>+F13-F12</f>
        <v>81600</v>
      </c>
      <c r="G14" s="111">
        <f t="shared" si="0"/>
        <v>-23493427.350000001</v>
      </c>
      <c r="H14" s="104"/>
    </row>
    <row r="15" spans="1:10" x14ac:dyDescent="0.45">
      <c r="A15" s="114" t="s">
        <v>94</v>
      </c>
      <c r="B15" s="82">
        <v>9963921.2899999991</v>
      </c>
      <c r="C15" s="82">
        <v>-1090678.93</v>
      </c>
      <c r="D15" s="87">
        <v>-1566605.83</v>
      </c>
      <c r="E15" s="82">
        <v>271135.14</v>
      </c>
      <c r="F15" s="82">
        <v>40003.35</v>
      </c>
      <c r="G15" s="82">
        <f t="shared" si="0"/>
        <v>7617775.0199999986</v>
      </c>
    </row>
    <row r="16" spans="1:10" x14ac:dyDescent="0.45">
      <c r="A16" s="86" t="s">
        <v>95</v>
      </c>
      <c r="B16" s="102">
        <f>+B15*B10/100</f>
        <v>9962924.8978709988</v>
      </c>
      <c r="C16" s="102"/>
      <c r="D16" s="102"/>
      <c r="E16" s="102">
        <f>+E15*E10/100</f>
        <v>271135.14</v>
      </c>
      <c r="F16" s="102">
        <f>+F15*F10/100</f>
        <v>20401.708499999997</v>
      </c>
      <c r="G16" s="82">
        <f t="shared" si="0"/>
        <v>10254461.746370999</v>
      </c>
    </row>
    <row r="17" spans="1:10" x14ac:dyDescent="0.45">
      <c r="A17" s="86" t="s">
        <v>96</v>
      </c>
      <c r="C17" s="102">
        <f>+C15*C10/100</f>
        <v>-545230.397107</v>
      </c>
      <c r="D17" s="102">
        <f>+D15*D10/100</f>
        <v>-1566449.1694170001</v>
      </c>
      <c r="E17" s="102"/>
      <c r="F17" s="102"/>
      <c r="G17" s="82">
        <f t="shared" si="0"/>
        <v>-2111679.5665239999</v>
      </c>
    </row>
    <row r="18" spans="1:10" x14ac:dyDescent="0.45">
      <c r="C18" s="102"/>
      <c r="D18" s="102"/>
      <c r="E18" s="102"/>
      <c r="F18" s="102"/>
    </row>
    <row r="19" spans="1:10" x14ac:dyDescent="0.45">
      <c r="A19" s="86" t="s">
        <v>118</v>
      </c>
      <c r="B19" s="102">
        <f>+B15*(100-B10)/100</f>
        <v>996.39212900050961</v>
      </c>
      <c r="C19" s="102">
        <f>+C15*(100-C10)/100</f>
        <v>-545448.53289299994</v>
      </c>
      <c r="D19" s="102">
        <f>+D15*(100-D10)/100</f>
        <v>-156.66058300008015</v>
      </c>
      <c r="E19" s="102">
        <f>+E15*(100-E10)/100</f>
        <v>0</v>
      </c>
      <c r="F19" s="102">
        <f>+F15*(100-F10)/100</f>
        <v>19601.641499999998</v>
      </c>
      <c r="G19" s="115">
        <f>+SUM(B19:F19)</f>
        <v>-525007.15984699945</v>
      </c>
    </row>
    <row r="20" spans="1:10" x14ac:dyDescent="0.45">
      <c r="C20" s="102"/>
      <c r="D20" s="102"/>
      <c r="E20" s="102"/>
      <c r="F20" s="102"/>
    </row>
    <row r="21" spans="1:10" x14ac:dyDescent="0.45">
      <c r="C21" s="102"/>
      <c r="D21" s="102"/>
      <c r="E21" s="102"/>
      <c r="F21" s="102"/>
    </row>
    <row r="22" spans="1:10" x14ac:dyDescent="0.45">
      <c r="A22" s="109" t="s">
        <v>125</v>
      </c>
      <c r="B22" s="102">
        <f>+B15+B8+B9</f>
        <v>14746952.559999999</v>
      </c>
      <c r="C22" s="102">
        <f>+C15+C8+C9</f>
        <v>-2753270.6799999997</v>
      </c>
      <c r="D22" s="102">
        <f>+D15+D8+D9</f>
        <v>22755372.830000002</v>
      </c>
      <c r="E22" s="102">
        <f>+E15+E8+E9</f>
        <v>1183135.1399999999</v>
      </c>
      <c r="F22" s="102">
        <f>+F15+F8+F9</f>
        <v>8870003.3499999996</v>
      </c>
    </row>
    <row r="23" spans="1:10" x14ac:dyDescent="0.45">
      <c r="A23" s="86" t="s">
        <v>126</v>
      </c>
      <c r="B23" s="102">
        <f>+B22*(100-B10)/100</f>
        <v>1474.6952560007544</v>
      </c>
      <c r="C23" s="102">
        <f>+C22*(100-C10)/100</f>
        <v>-1376910.667068</v>
      </c>
      <c r="D23" s="102">
        <f>+D22*(100-D10)/100</f>
        <v>2275.5372830011643</v>
      </c>
      <c r="E23" s="102">
        <f>+E22*(100-E10)/100</f>
        <v>0</v>
      </c>
      <c r="F23" s="102">
        <f>+F22*(100-F10)/100</f>
        <v>4346301.6414999999</v>
      </c>
      <c r="G23" s="115">
        <f>+SUM(B23:F23)</f>
        <v>2973141.2069710018</v>
      </c>
    </row>
    <row r="24" spans="1:10" x14ac:dyDescent="0.45">
      <c r="A24" s="86" t="s">
        <v>127</v>
      </c>
      <c r="C24" s="102"/>
      <c r="D24" s="102"/>
      <c r="E24" s="102"/>
      <c r="F24" s="102">
        <v>-4274821.25</v>
      </c>
      <c r="G24" s="115">
        <f>+SUM(B24:F24)</f>
        <v>-4274821.25</v>
      </c>
    </row>
    <row r="25" spans="1:10" x14ac:dyDescent="0.45">
      <c r="C25" s="102"/>
      <c r="D25" s="102"/>
      <c r="E25" s="102"/>
      <c r="F25" s="102"/>
      <c r="G25" s="115"/>
    </row>
    <row r="26" spans="1:10" x14ac:dyDescent="0.45">
      <c r="C26" s="102"/>
      <c r="D26" s="102"/>
      <c r="E26" s="102"/>
      <c r="F26" s="102"/>
      <c r="G26" s="115"/>
    </row>
    <row r="27" spans="1:10" ht="21.75" thickBot="1" x14ac:dyDescent="0.5">
      <c r="C27" s="102"/>
      <c r="D27" s="102"/>
      <c r="E27" s="102"/>
      <c r="F27" s="102"/>
      <c r="G27" s="116">
        <f>SUM(G23:G26)</f>
        <v>-1301680.0430289982</v>
      </c>
    </row>
    <row r="28" spans="1:10" ht="21.75" thickTop="1" x14ac:dyDescent="0.45">
      <c r="C28" s="87"/>
    </row>
    <row r="29" spans="1:10" x14ac:dyDescent="0.45">
      <c r="A29" s="117" t="s">
        <v>34</v>
      </c>
      <c r="B29" s="87"/>
      <c r="G29" s="82">
        <v>-2135652.63</v>
      </c>
    </row>
    <row r="30" spans="1:10" x14ac:dyDescent="0.45">
      <c r="A30" s="86" t="s">
        <v>101</v>
      </c>
      <c r="B30" s="87"/>
      <c r="G30" s="82">
        <f>+G29-G27</f>
        <v>-833972.5869710017</v>
      </c>
    </row>
    <row r="31" spans="1:10" x14ac:dyDescent="0.45">
      <c r="A31" s="86" t="s">
        <v>106</v>
      </c>
      <c r="B31" s="87"/>
      <c r="C31" s="87">
        <f>23544963.08-13000</f>
        <v>23531963.079999998</v>
      </c>
      <c r="E31" s="87"/>
      <c r="F31" s="87"/>
      <c r="G31" s="87"/>
      <c r="H31" s="118"/>
      <c r="I31" s="87"/>
      <c r="J31" s="87"/>
    </row>
    <row r="32" spans="1:10" x14ac:dyDescent="0.45">
      <c r="A32" s="86" t="s">
        <v>107</v>
      </c>
      <c r="B32" s="87"/>
      <c r="D32" s="87">
        <f>+C31</f>
        <v>23531963.079999998</v>
      </c>
      <c r="G32" s="82">
        <v>78400</v>
      </c>
      <c r="H32" s="104"/>
    </row>
    <row r="33" spans="1:8" x14ac:dyDescent="0.45">
      <c r="G33" s="82">
        <v>-615.72</v>
      </c>
    </row>
    <row r="34" spans="1:8" x14ac:dyDescent="0.45">
      <c r="G34" s="82">
        <v>781963.74</v>
      </c>
    </row>
    <row r="35" spans="1:8" x14ac:dyDescent="0.45">
      <c r="A35" s="86" t="s">
        <v>102</v>
      </c>
      <c r="G35" s="82">
        <f>SUM(G32:G34)</f>
        <v>859748.02</v>
      </c>
    </row>
    <row r="36" spans="1:8" x14ac:dyDescent="0.45">
      <c r="A36" s="86" t="s">
        <v>104</v>
      </c>
      <c r="C36" s="82">
        <v>22681399.34</v>
      </c>
    </row>
    <row r="37" spans="1:8" x14ac:dyDescent="0.45">
      <c r="A37" s="86" t="s">
        <v>105</v>
      </c>
      <c r="D37" s="87">
        <f>+C36</f>
        <v>22681399.34</v>
      </c>
    </row>
    <row r="39" spans="1:8" x14ac:dyDescent="0.45">
      <c r="A39" s="86" t="s">
        <v>120</v>
      </c>
    </row>
    <row r="40" spans="1:8" x14ac:dyDescent="0.45">
      <c r="A40" s="86" t="s">
        <v>121</v>
      </c>
      <c r="C40" s="82">
        <v>1662591.75</v>
      </c>
    </row>
    <row r="41" spans="1:8" x14ac:dyDescent="0.45">
      <c r="A41" s="86" t="s">
        <v>122</v>
      </c>
      <c r="B41" s="87"/>
      <c r="D41" s="87">
        <f>+++++++C40</f>
        <v>1662591.75</v>
      </c>
    </row>
    <row r="42" spans="1:8" x14ac:dyDescent="0.45">
      <c r="B42" s="87"/>
    </row>
    <row r="43" spans="1:8" x14ac:dyDescent="0.45">
      <c r="B43" s="87"/>
    </row>
    <row r="44" spans="1:8" x14ac:dyDescent="0.45">
      <c r="A44" s="117" t="s">
        <v>33</v>
      </c>
      <c r="B44" s="87"/>
    </row>
    <row r="45" spans="1:8" x14ac:dyDescent="0.45">
      <c r="A45" s="86" t="s">
        <v>103</v>
      </c>
      <c r="B45" s="87"/>
      <c r="C45" s="82">
        <f>+G16+G17</f>
        <v>8142782.1798469992</v>
      </c>
    </row>
    <row r="46" spans="1:8" x14ac:dyDescent="0.45">
      <c r="A46" s="86" t="s">
        <v>100</v>
      </c>
      <c r="B46" s="87"/>
    </row>
    <row r="47" spans="1:8" x14ac:dyDescent="0.45">
      <c r="A47" s="86" t="s">
        <v>99</v>
      </c>
      <c r="B47" s="87"/>
      <c r="H47" s="104"/>
    </row>
    <row r="48" spans="1:8" x14ac:dyDescent="0.45">
      <c r="B48" s="87"/>
    </row>
    <row r="49" spans="1:10" x14ac:dyDescent="0.45">
      <c r="B49" s="87"/>
    </row>
    <row r="50" spans="1:10" x14ac:dyDescent="0.45">
      <c r="B50" s="87"/>
    </row>
    <row r="51" spans="1:10" x14ac:dyDescent="0.45">
      <c r="B51" s="87"/>
      <c r="C51" s="87"/>
      <c r="E51" s="87"/>
      <c r="F51" s="87"/>
      <c r="G51" s="87"/>
      <c r="I51" s="87"/>
      <c r="J51" s="87"/>
    </row>
    <row r="52" spans="1:10" x14ac:dyDescent="0.45">
      <c r="B52" s="87"/>
    </row>
    <row r="53" spans="1:10" x14ac:dyDescent="0.45">
      <c r="B53" s="82"/>
    </row>
    <row r="54" spans="1:10" x14ac:dyDescent="0.45">
      <c r="B54" s="87"/>
    </row>
    <row r="55" spans="1:10" x14ac:dyDescent="0.45">
      <c r="B55" s="87"/>
      <c r="C55" s="87"/>
      <c r="E55" s="87"/>
      <c r="F55" s="87"/>
      <c r="G55" s="87"/>
      <c r="J55" s="87"/>
    </row>
    <row r="56" spans="1:10" x14ac:dyDescent="0.45">
      <c r="B56" s="87"/>
      <c r="C56" s="87"/>
      <c r="E56" s="87"/>
      <c r="F56" s="87"/>
      <c r="G56" s="87"/>
      <c r="J56" s="87"/>
    </row>
    <row r="57" spans="1:10" x14ac:dyDescent="0.45">
      <c r="B57" s="87"/>
    </row>
    <row r="58" spans="1:10" x14ac:dyDescent="0.45">
      <c r="A58" s="119"/>
      <c r="B58" s="87"/>
      <c r="H58" s="104"/>
    </row>
    <row r="59" spans="1:10" x14ac:dyDescent="0.45">
      <c r="A59" s="120"/>
      <c r="B59" s="87"/>
    </row>
    <row r="60" spans="1:10" x14ac:dyDescent="0.45">
      <c r="A60" s="120"/>
      <c r="B60" s="87"/>
    </row>
    <row r="61" spans="1:10" x14ac:dyDescent="0.45">
      <c r="A61" s="120"/>
      <c r="B61" s="87"/>
    </row>
    <row r="62" spans="1:10" x14ac:dyDescent="0.45">
      <c r="B62" s="87"/>
    </row>
    <row r="63" spans="1:10" x14ac:dyDescent="0.45">
      <c r="B63" s="121"/>
    </row>
    <row r="64" spans="1:10" x14ac:dyDescent="0.45">
      <c r="B64" s="87"/>
    </row>
    <row r="65" spans="1:10" x14ac:dyDescent="0.45">
      <c r="B65" s="87"/>
      <c r="C65" s="87"/>
      <c r="E65" s="87"/>
      <c r="F65" s="87"/>
      <c r="G65" s="87"/>
      <c r="J65" s="87"/>
    </row>
    <row r="66" spans="1:10" x14ac:dyDescent="0.45">
      <c r="B66" s="87"/>
      <c r="C66" s="87"/>
      <c r="E66" s="87"/>
      <c r="F66" s="87"/>
      <c r="G66" s="87"/>
    </row>
    <row r="67" spans="1:10" x14ac:dyDescent="0.45">
      <c r="B67" s="87"/>
      <c r="C67" s="87"/>
      <c r="E67" s="87"/>
      <c r="F67" s="87"/>
      <c r="G67" s="87"/>
      <c r="J67" s="87"/>
    </row>
    <row r="68" spans="1:10" x14ac:dyDescent="0.45">
      <c r="B68" s="87"/>
      <c r="C68" s="87"/>
      <c r="E68" s="87"/>
      <c r="F68" s="87"/>
      <c r="G68" s="87"/>
      <c r="J68" s="87"/>
    </row>
    <row r="69" spans="1:10" x14ac:dyDescent="0.45">
      <c r="B69" s="87"/>
    </row>
    <row r="70" spans="1:10" x14ac:dyDescent="0.45">
      <c r="B70" s="122"/>
      <c r="C70" s="122"/>
      <c r="D70" s="122"/>
      <c r="E70" s="122"/>
      <c r="F70" s="122"/>
      <c r="G70" s="122"/>
      <c r="H70" s="123"/>
      <c r="I70" s="124"/>
      <c r="J70" s="122"/>
    </row>
    <row r="71" spans="1:10" x14ac:dyDescent="0.45">
      <c r="A71" s="125"/>
      <c r="B71" s="125"/>
    </row>
    <row r="72" spans="1:10" x14ac:dyDescent="0.45">
      <c r="A72" s="126"/>
      <c r="B72" s="126"/>
    </row>
    <row r="73" spans="1:10" x14ac:dyDescent="0.45">
      <c r="A73" s="126"/>
      <c r="B73" s="126"/>
    </row>
    <row r="74" spans="1:10" ht="18" customHeight="1" x14ac:dyDescent="0.45">
      <c r="A74" s="126"/>
      <c r="B74" s="126"/>
    </row>
    <row r="75" spans="1:10" x14ac:dyDescent="0.45">
      <c r="B75" s="87"/>
    </row>
    <row r="76" spans="1:10" x14ac:dyDescent="0.45">
      <c r="B76" s="87"/>
      <c r="E76" s="87"/>
      <c r="F76" s="87"/>
      <c r="H76" s="104"/>
    </row>
    <row r="77" spans="1:10" x14ac:dyDescent="0.45">
      <c r="B77" s="87"/>
      <c r="E77" s="87"/>
      <c r="F77" s="87"/>
    </row>
    <row r="78" spans="1:10" x14ac:dyDescent="0.45">
      <c r="B78" s="87"/>
      <c r="E78" s="87"/>
      <c r="F78" s="87"/>
    </row>
    <row r="79" spans="1:10" x14ac:dyDescent="0.45">
      <c r="B79" s="87"/>
      <c r="E79" s="87"/>
      <c r="F79" s="87"/>
      <c r="H79" s="104"/>
    </row>
    <row r="80" spans="1:10" x14ac:dyDescent="0.45">
      <c r="B80" s="87"/>
      <c r="E80" s="87"/>
      <c r="F80" s="87"/>
    </row>
    <row r="81" spans="2:8" x14ac:dyDescent="0.45">
      <c r="B81" s="87"/>
      <c r="C81" s="87"/>
      <c r="E81" s="87"/>
      <c r="F81" s="87"/>
      <c r="G81" s="87"/>
    </row>
    <row r="82" spans="2:8" x14ac:dyDescent="0.45">
      <c r="B82" s="87"/>
      <c r="E82" s="87"/>
      <c r="F82" s="87"/>
      <c r="G82" s="87"/>
    </row>
    <row r="83" spans="2:8" x14ac:dyDescent="0.45">
      <c r="B83" s="87"/>
      <c r="C83" s="87"/>
      <c r="E83" s="87"/>
      <c r="F83" s="87"/>
    </row>
    <row r="84" spans="2:8" x14ac:dyDescent="0.45">
      <c r="B84" s="87"/>
      <c r="C84" s="87"/>
      <c r="E84" s="87"/>
      <c r="F84" s="87"/>
      <c r="H84" s="104"/>
    </row>
    <row r="85" spans="2:8" x14ac:dyDescent="0.45">
      <c r="B85" s="87"/>
      <c r="C85" s="87"/>
      <c r="E85" s="87"/>
      <c r="F85" s="87"/>
    </row>
    <row r="86" spans="2:8" x14ac:dyDescent="0.45">
      <c r="B86" s="87"/>
      <c r="C86" s="87"/>
      <c r="E86" s="87"/>
      <c r="F86" s="87"/>
    </row>
    <row r="87" spans="2:8" x14ac:dyDescent="0.45">
      <c r="B87" s="87"/>
      <c r="C87" s="87"/>
      <c r="E87" s="87"/>
      <c r="F87" s="87"/>
      <c r="G87" s="87"/>
    </row>
    <row r="88" spans="2:8" x14ac:dyDescent="0.45">
      <c r="B88" s="87"/>
      <c r="C88" s="87"/>
      <c r="E88" s="87"/>
      <c r="F88" s="87"/>
      <c r="G88" s="87"/>
    </row>
    <row r="89" spans="2:8" x14ac:dyDescent="0.45">
      <c r="B89" s="87"/>
      <c r="C89" s="87"/>
      <c r="E89" s="87"/>
      <c r="F89" s="87"/>
      <c r="G89" s="87"/>
    </row>
    <row r="90" spans="2:8" x14ac:dyDescent="0.45">
      <c r="B90" s="87"/>
      <c r="C90" s="87"/>
      <c r="E90" s="87"/>
      <c r="F90" s="87"/>
    </row>
    <row r="91" spans="2:8" x14ac:dyDescent="0.45">
      <c r="B91" s="121"/>
      <c r="C91" s="121"/>
      <c r="D91" s="121"/>
      <c r="E91" s="121"/>
      <c r="F91" s="121"/>
    </row>
    <row r="92" spans="2:8" x14ac:dyDescent="0.45">
      <c r="B92" s="125"/>
      <c r="C92" s="125"/>
      <c r="D92" s="125"/>
      <c r="E92" s="125"/>
      <c r="F92" s="125"/>
      <c r="G92" s="125"/>
    </row>
    <row r="93" spans="2:8" x14ac:dyDescent="0.45">
      <c r="B93" s="121"/>
      <c r="C93" s="121"/>
      <c r="D93" s="121"/>
      <c r="E93" s="121"/>
      <c r="F93" s="121"/>
      <c r="G93" s="121"/>
    </row>
    <row r="94" spans="2:8" x14ac:dyDescent="0.45">
      <c r="B94" s="87"/>
      <c r="C94" s="87"/>
      <c r="E94" s="87"/>
      <c r="F94" s="87"/>
      <c r="G94" s="87"/>
    </row>
    <row r="95" spans="2:8" ht="9.9499999999999993" customHeight="1" x14ac:dyDescent="0.45">
      <c r="B95" s="87"/>
      <c r="C95" s="87"/>
      <c r="E95" s="87"/>
      <c r="F95" s="87"/>
      <c r="G95" s="87"/>
    </row>
    <row r="96" spans="2:8" x14ac:dyDescent="0.45">
      <c r="B96" s="87"/>
    </row>
    <row r="97" spans="2:2" x14ac:dyDescent="0.45">
      <c r="B97" s="87"/>
    </row>
    <row r="98" spans="2:2" x14ac:dyDescent="0.45">
      <c r="B98" s="87"/>
    </row>
    <row r="99" spans="2:2" x14ac:dyDescent="0.45">
      <c r="B99" s="87"/>
    </row>
    <row r="100" spans="2:2" x14ac:dyDescent="0.45">
      <c r="B100" s="87"/>
    </row>
    <row r="101" spans="2:2" x14ac:dyDescent="0.45">
      <c r="B101" s="87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ColWidth="9.140625" defaultRowHeight="18" x14ac:dyDescent="0.4"/>
  <cols>
    <col min="1" max="2" width="2.7109375" style="3" customWidth="1"/>
    <col min="3" max="3" width="36.7109375" style="3" customWidth="1"/>
    <col min="4" max="5" width="12.7109375" style="5" customWidth="1"/>
    <col min="6" max="6" width="12.7109375" style="1" customWidth="1"/>
    <col min="7" max="7" width="12.7109375" style="2" customWidth="1"/>
    <col min="8" max="10" width="12.7109375" style="1" customWidth="1"/>
    <col min="11" max="11" width="15.28515625" style="51" customWidth="1"/>
    <col min="12" max="13" width="12.7109375" style="1" customWidth="1"/>
    <col min="14" max="14" width="2.28515625" style="3" customWidth="1"/>
    <col min="15" max="16" width="12.7109375" style="3" customWidth="1"/>
    <col min="17" max="16384" width="9.140625" style="3"/>
  </cols>
  <sheetData>
    <row r="1" spans="1:15" x14ac:dyDescent="0.4">
      <c r="A1" s="44" t="s">
        <v>52</v>
      </c>
      <c r="B1" s="26"/>
      <c r="C1" s="26"/>
      <c r="D1" s="26"/>
      <c r="E1" s="26"/>
      <c r="G1" s="41"/>
      <c r="H1" s="42"/>
      <c r="I1" s="42"/>
    </row>
    <row r="2" spans="1:15" ht="21.75" customHeight="1" x14ac:dyDescent="0.4">
      <c r="A2" s="44" t="s">
        <v>70</v>
      </c>
      <c r="B2" s="26"/>
      <c r="C2" s="26"/>
      <c r="D2" s="26"/>
      <c r="E2" s="26"/>
    </row>
    <row r="3" spans="1:15" ht="21.75" customHeight="1" x14ac:dyDescent="0.4">
      <c r="A3" s="39" t="s">
        <v>69</v>
      </c>
      <c r="B3" s="26"/>
      <c r="C3" s="26"/>
      <c r="D3" s="26"/>
      <c r="E3" s="26"/>
      <c r="K3" s="223" t="s">
        <v>71</v>
      </c>
      <c r="L3" s="223"/>
    </row>
    <row r="4" spans="1:15" s="35" customFormat="1" ht="18" customHeight="1" x14ac:dyDescent="0.4">
      <c r="D4" s="45" t="s">
        <v>62</v>
      </c>
      <c r="E4" s="45" t="s">
        <v>63</v>
      </c>
      <c r="F4" s="47" t="s">
        <v>64</v>
      </c>
      <c r="G4" s="48" t="s">
        <v>65</v>
      </c>
      <c r="H4" s="47" t="s">
        <v>66</v>
      </c>
      <c r="I4" s="47" t="s">
        <v>67</v>
      </c>
      <c r="J4" s="47" t="s">
        <v>27</v>
      </c>
      <c r="K4" s="52" t="s">
        <v>72</v>
      </c>
      <c r="L4" s="49" t="s">
        <v>73</v>
      </c>
      <c r="M4" s="46" t="s">
        <v>33</v>
      </c>
    </row>
    <row r="5" spans="1:15" x14ac:dyDescent="0.4">
      <c r="A5" s="9" t="s">
        <v>8</v>
      </c>
      <c r="B5" s="9"/>
      <c r="C5" s="9"/>
      <c r="D5" s="11"/>
      <c r="E5" s="11"/>
    </row>
    <row r="6" spans="1:15" x14ac:dyDescent="0.4">
      <c r="A6" s="9"/>
      <c r="B6" s="9" t="s">
        <v>17</v>
      </c>
      <c r="C6" s="9"/>
      <c r="D6" s="5">
        <v>316767129.02999997</v>
      </c>
      <c r="E6" s="11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1">
        <f>+I6+H6+G6+F6+E6+D6</f>
        <v>341190247.58999997</v>
      </c>
      <c r="M6" s="1">
        <f>+L6+J6</f>
        <v>341190247.58999997</v>
      </c>
    </row>
    <row r="7" spans="1:15" x14ac:dyDescent="0.4">
      <c r="A7" s="9"/>
      <c r="B7" s="9" t="s">
        <v>53</v>
      </c>
      <c r="C7" s="9"/>
      <c r="D7" s="5">
        <v>40216527.100000001</v>
      </c>
      <c r="E7" s="11"/>
      <c r="J7" s="1">
        <f t="shared" ref="J7:J18" si="0">+I7+H7+G7+F7+E7+D7</f>
        <v>40216527.100000001</v>
      </c>
      <c r="M7" s="1">
        <f t="shared" ref="M7:M78" si="1">+L7+J7</f>
        <v>40216527.100000001</v>
      </c>
    </row>
    <row r="8" spans="1:15" x14ac:dyDescent="0.4">
      <c r="A8" s="9"/>
      <c r="B8" s="9" t="s">
        <v>74</v>
      </c>
      <c r="C8" s="9"/>
      <c r="D8" s="11">
        <v>6241052.1100000003</v>
      </c>
      <c r="E8" s="11"/>
      <c r="H8" s="1">
        <v>0</v>
      </c>
      <c r="J8" s="1">
        <f t="shared" si="0"/>
        <v>6241052.1100000003</v>
      </c>
      <c r="K8" s="55" t="s">
        <v>84</v>
      </c>
      <c r="L8" s="1">
        <v>-4636052.1100000003</v>
      </c>
      <c r="M8" s="1">
        <f t="shared" si="1"/>
        <v>1605000</v>
      </c>
    </row>
    <row r="9" spans="1:15" x14ac:dyDescent="0.4">
      <c r="A9" s="9"/>
      <c r="B9" s="9" t="s">
        <v>75</v>
      </c>
      <c r="C9" s="9"/>
      <c r="D9" s="11">
        <v>5331982.99</v>
      </c>
      <c r="E9" s="11"/>
      <c r="H9" s="1">
        <v>0</v>
      </c>
      <c r="J9" s="1">
        <f t="shared" si="0"/>
        <v>5331982.99</v>
      </c>
      <c r="M9" s="1">
        <f t="shared" si="1"/>
        <v>5331982.99</v>
      </c>
    </row>
    <row r="10" spans="1:15" x14ac:dyDescent="0.4">
      <c r="A10" s="9"/>
      <c r="B10" s="9" t="s">
        <v>113</v>
      </c>
      <c r="C10" s="9"/>
      <c r="D10" s="11"/>
      <c r="E10" s="11"/>
      <c r="H10" s="59">
        <f>4274821.25+348965</f>
        <v>4623786.25</v>
      </c>
      <c r="J10" s="1">
        <f t="shared" si="0"/>
        <v>4623786.25</v>
      </c>
      <c r="K10" s="51" t="s">
        <v>130</v>
      </c>
      <c r="L10" s="1">
        <v>-4274821.25</v>
      </c>
      <c r="M10" s="1">
        <f t="shared" si="1"/>
        <v>348965</v>
      </c>
    </row>
    <row r="11" spans="1:15" x14ac:dyDescent="0.4">
      <c r="A11" s="9"/>
      <c r="B11" s="9" t="s">
        <v>76</v>
      </c>
      <c r="C11" s="9"/>
      <c r="D11" s="11">
        <v>90000</v>
      </c>
      <c r="E11" s="11"/>
      <c r="H11" s="1">
        <v>0</v>
      </c>
      <c r="J11" s="1">
        <f t="shared" si="0"/>
        <v>90000</v>
      </c>
      <c r="K11" s="55" t="s">
        <v>85</v>
      </c>
      <c r="L11" s="1">
        <v>-90000</v>
      </c>
      <c r="M11" s="1">
        <f t="shared" si="1"/>
        <v>0</v>
      </c>
    </row>
    <row r="12" spans="1:15" x14ac:dyDescent="0.4">
      <c r="A12" s="9"/>
      <c r="B12" s="9" t="s">
        <v>77</v>
      </c>
      <c r="C12" s="9"/>
      <c r="D12" s="11">
        <v>150000</v>
      </c>
      <c r="E12" s="1"/>
      <c r="H12" s="1">
        <v>0</v>
      </c>
      <c r="J12" s="1">
        <f t="shared" si="0"/>
        <v>150000</v>
      </c>
      <c r="M12" s="1">
        <f t="shared" si="1"/>
        <v>150000</v>
      </c>
    </row>
    <row r="13" spans="1:15" x14ac:dyDescent="0.4">
      <c r="A13" s="9"/>
      <c r="B13" s="9" t="s">
        <v>32</v>
      </c>
      <c r="C13" s="9"/>
      <c r="D13" s="11">
        <v>0</v>
      </c>
      <c r="E13" s="11"/>
      <c r="F13" s="2"/>
      <c r="H13" s="1">
        <v>0</v>
      </c>
      <c r="J13" s="1">
        <f t="shared" si="0"/>
        <v>0</v>
      </c>
      <c r="M13" s="1">
        <f t="shared" si="1"/>
        <v>0</v>
      </c>
    </row>
    <row r="14" spans="1:15" x14ac:dyDescent="0.4">
      <c r="A14" s="9"/>
      <c r="B14" s="9" t="s">
        <v>44</v>
      </c>
      <c r="C14" s="9"/>
      <c r="D14" s="11"/>
      <c r="E14" s="11"/>
      <c r="F14" s="2"/>
      <c r="H14" s="1">
        <v>0</v>
      </c>
      <c r="J14" s="1">
        <f t="shared" si="0"/>
        <v>0</v>
      </c>
      <c r="M14" s="1">
        <f t="shared" si="1"/>
        <v>0</v>
      </c>
    </row>
    <row r="15" spans="1:15" x14ac:dyDescent="0.4">
      <c r="A15" s="9"/>
      <c r="B15" s="9"/>
      <c r="C15" s="9" t="s">
        <v>1</v>
      </c>
      <c r="D15" s="11">
        <v>1345040.03</v>
      </c>
      <c r="E15" s="11">
        <v>25395.599999999999</v>
      </c>
      <c r="F15" s="2"/>
      <c r="H15" s="1">
        <v>63528.73</v>
      </c>
      <c r="J15" s="1">
        <f t="shared" si="0"/>
        <v>1433964.36</v>
      </c>
      <c r="M15" s="1">
        <f t="shared" si="1"/>
        <v>1433964.36</v>
      </c>
      <c r="O15" s="4">
        <f>1433964.36-M15</f>
        <v>0</v>
      </c>
    </row>
    <row r="16" spans="1:15" x14ac:dyDescent="0.4">
      <c r="A16" s="9"/>
      <c r="B16" s="9"/>
      <c r="C16" s="9" t="s">
        <v>28</v>
      </c>
      <c r="D16" s="11">
        <v>485562.25</v>
      </c>
      <c r="E16" s="11">
        <f>114906.28-92587.07</f>
        <v>22319.209999999992</v>
      </c>
      <c r="F16" s="2">
        <v>6340.21</v>
      </c>
      <c r="G16" s="2">
        <v>11953.42</v>
      </c>
      <c r="H16" s="1">
        <v>0</v>
      </c>
      <c r="J16" s="1">
        <f t="shared" si="0"/>
        <v>526175.09</v>
      </c>
      <c r="M16" s="1">
        <f t="shared" si="1"/>
        <v>526175.09</v>
      </c>
    </row>
    <row r="17" spans="1:15" x14ac:dyDescent="0.4">
      <c r="A17" s="9"/>
      <c r="B17" s="9"/>
      <c r="C17" s="9" t="s">
        <v>10</v>
      </c>
      <c r="D17" s="11"/>
      <c r="E17" s="11">
        <v>15664.65</v>
      </c>
      <c r="F17" s="2">
        <v>47620.07</v>
      </c>
      <c r="G17" s="2">
        <v>1929.28</v>
      </c>
      <c r="H17" s="1">
        <v>0</v>
      </c>
      <c r="J17" s="1">
        <f t="shared" si="0"/>
        <v>65214</v>
      </c>
      <c r="M17" s="1">
        <f t="shared" si="1"/>
        <v>65214</v>
      </c>
    </row>
    <row r="18" spans="1:15" x14ac:dyDescent="0.4">
      <c r="A18" s="9"/>
      <c r="B18" s="9"/>
      <c r="C18" s="9" t="s">
        <v>43</v>
      </c>
      <c r="D18" s="11">
        <f>529964.28-D16</f>
        <v>44402.030000000028</v>
      </c>
      <c r="E18" s="11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1">
        <f t="shared" si="0"/>
        <v>168983.59000000005</v>
      </c>
      <c r="L18" s="73">
        <v>615.72</v>
      </c>
      <c r="M18" s="1">
        <f t="shared" si="1"/>
        <v>169599.31000000006</v>
      </c>
      <c r="O18" s="4">
        <f>+M18+M17+M16-760988.4</f>
        <v>0</v>
      </c>
    </row>
    <row r="19" spans="1:15" x14ac:dyDescent="0.4">
      <c r="A19" s="9"/>
      <c r="B19" s="9"/>
      <c r="C19" s="9" t="s">
        <v>18</v>
      </c>
      <c r="D19" s="16">
        <f t="shared" ref="D19:J19" si="2">SUM(D6:D18)</f>
        <v>370671695.53999996</v>
      </c>
      <c r="E19" s="16">
        <f t="shared" si="2"/>
        <v>19281423.650000002</v>
      </c>
      <c r="F19" s="16">
        <f t="shared" si="2"/>
        <v>109686.79999999999</v>
      </c>
      <c r="G19" s="16">
        <f t="shared" si="2"/>
        <v>72381.78</v>
      </c>
      <c r="H19" s="16">
        <f t="shared" si="2"/>
        <v>8758347.5</v>
      </c>
      <c r="I19" s="16">
        <f t="shared" si="2"/>
        <v>1144397.81</v>
      </c>
      <c r="J19" s="16">
        <f t="shared" si="2"/>
        <v>400037933.07999998</v>
      </c>
      <c r="K19" s="53"/>
      <c r="L19" s="17"/>
      <c r="M19" s="16">
        <f>SUM(M6:M18)</f>
        <v>391037675.44</v>
      </c>
    </row>
    <row r="20" spans="1:15" x14ac:dyDescent="0.4">
      <c r="A20" s="9" t="s">
        <v>45</v>
      </c>
      <c r="B20" s="9"/>
      <c r="C20" s="9"/>
      <c r="D20" s="11"/>
      <c r="E20" s="11"/>
      <c r="K20" s="55"/>
    </row>
    <row r="21" spans="1:15" x14ac:dyDescent="0.4">
      <c r="A21" s="9"/>
      <c r="B21" s="9" t="s">
        <v>54</v>
      </c>
      <c r="C21" s="9"/>
      <c r="D21" s="43">
        <v>56419678</v>
      </c>
      <c r="E21" s="11"/>
      <c r="H21" s="1">
        <v>0</v>
      </c>
      <c r="J21" s="1">
        <f t="shared" ref="J21:J27" si="3">+I21+H21+G21+F21+E21+D21</f>
        <v>56419678</v>
      </c>
      <c r="K21" s="55" t="s">
        <v>87</v>
      </c>
      <c r="L21" s="1">
        <v>-56419678</v>
      </c>
      <c r="M21" s="1">
        <f>+J21+L21</f>
        <v>0</v>
      </c>
    </row>
    <row r="22" spans="1:15" x14ac:dyDescent="0.4">
      <c r="A22" s="9"/>
      <c r="B22" s="9" t="s">
        <v>112</v>
      </c>
      <c r="C22" s="9"/>
      <c r="D22" s="43">
        <v>-22681399.34</v>
      </c>
      <c r="E22" s="11"/>
      <c r="J22" s="1">
        <f t="shared" si="3"/>
        <v>-22681399.34</v>
      </c>
      <c r="K22" s="55" t="s">
        <v>109</v>
      </c>
      <c r="L22" s="1">
        <v>22681399.34</v>
      </c>
      <c r="M22" s="1">
        <f>+J22+L22</f>
        <v>0</v>
      </c>
    </row>
    <row r="23" spans="1:15" x14ac:dyDescent="0.4">
      <c r="A23" s="9"/>
      <c r="B23" s="9" t="s">
        <v>55</v>
      </c>
      <c r="C23" s="9"/>
      <c r="D23" s="11">
        <v>5315259</v>
      </c>
      <c r="E23" s="11"/>
      <c r="G23" s="2">
        <v>24900100</v>
      </c>
      <c r="H23" s="1">
        <v>0</v>
      </c>
      <c r="J23" s="1">
        <f t="shared" si="3"/>
        <v>30215359</v>
      </c>
      <c r="M23" s="1">
        <f t="shared" si="1"/>
        <v>30215359</v>
      </c>
    </row>
    <row r="24" spans="1:15" x14ac:dyDescent="0.4">
      <c r="A24" s="9"/>
      <c r="B24" s="9" t="s">
        <v>81</v>
      </c>
      <c r="C24" s="9"/>
      <c r="D24" s="5">
        <v>4125330.22</v>
      </c>
      <c r="E24" s="11">
        <v>4036.43</v>
      </c>
      <c r="F24" s="1">
        <v>137242.54</v>
      </c>
      <c r="H24" s="1">
        <v>0</v>
      </c>
      <c r="J24" s="1">
        <f t="shared" si="3"/>
        <v>4266609.1900000004</v>
      </c>
      <c r="M24" s="1">
        <f>+J24+L24</f>
        <v>4266609.1900000004</v>
      </c>
    </row>
    <row r="25" spans="1:15" x14ac:dyDescent="0.4">
      <c r="A25" s="9"/>
      <c r="B25" s="9" t="s">
        <v>46</v>
      </c>
      <c r="C25" s="9"/>
      <c r="D25" s="11"/>
      <c r="E25" s="11"/>
      <c r="H25" s="1">
        <v>0</v>
      </c>
      <c r="J25" s="1">
        <f t="shared" si="3"/>
        <v>0</v>
      </c>
      <c r="M25" s="1">
        <f t="shared" si="1"/>
        <v>0</v>
      </c>
    </row>
    <row r="26" spans="1:15" x14ac:dyDescent="0.4">
      <c r="A26" s="9"/>
      <c r="B26" s="9"/>
      <c r="C26" s="9" t="s">
        <v>31</v>
      </c>
      <c r="D26" s="11">
        <f>1301692.81+0.01</f>
        <v>1301692.82</v>
      </c>
      <c r="E26" s="11">
        <v>452453.91</v>
      </c>
      <c r="F26" s="2">
        <v>39.15</v>
      </c>
      <c r="G26" s="2">
        <v>61.14</v>
      </c>
      <c r="H26" s="1">
        <v>0</v>
      </c>
      <c r="J26" s="1">
        <f t="shared" si="3"/>
        <v>1754247.02</v>
      </c>
      <c r="M26" s="1">
        <f t="shared" si="1"/>
        <v>1754247.02</v>
      </c>
      <c r="O26" s="4">
        <f>1754247.02-M26</f>
        <v>0</v>
      </c>
    </row>
    <row r="27" spans="1:15" x14ac:dyDescent="0.4">
      <c r="A27" s="9"/>
      <c r="B27" s="9"/>
      <c r="C27" s="9" t="s">
        <v>80</v>
      </c>
      <c r="D27" s="5">
        <v>1494433.31</v>
      </c>
      <c r="E27" s="11">
        <v>0</v>
      </c>
      <c r="H27" s="1">
        <v>0</v>
      </c>
      <c r="J27" s="1">
        <f t="shared" si="3"/>
        <v>1494433.31</v>
      </c>
      <c r="M27" s="1">
        <f t="shared" si="1"/>
        <v>1494433.31</v>
      </c>
    </row>
    <row r="28" spans="1:15" x14ac:dyDescent="0.4">
      <c r="A28" s="9"/>
      <c r="B28" s="9"/>
      <c r="C28" s="9" t="s">
        <v>19</v>
      </c>
      <c r="D28" s="16">
        <f t="shared" ref="D28:J28" si="4">SUM(D21:D27)</f>
        <v>45974994.009999998</v>
      </c>
      <c r="E28" s="16">
        <f t="shared" si="4"/>
        <v>456490.33999999997</v>
      </c>
      <c r="F28" s="16">
        <f t="shared" si="4"/>
        <v>137281.69</v>
      </c>
      <c r="G28" s="16">
        <f t="shared" si="4"/>
        <v>24900161.140000001</v>
      </c>
      <c r="H28" s="16">
        <f t="shared" si="4"/>
        <v>0</v>
      </c>
      <c r="I28" s="16">
        <f t="shared" si="4"/>
        <v>0</v>
      </c>
      <c r="J28" s="16">
        <f t="shared" si="4"/>
        <v>71468927.179999992</v>
      </c>
      <c r="M28" s="16">
        <f>SUM(M21:M27)</f>
        <v>37730648.520000003</v>
      </c>
    </row>
    <row r="29" spans="1:15" ht="18.75" thickBot="1" x14ac:dyDescent="0.45">
      <c r="A29" s="9" t="s">
        <v>47</v>
      </c>
      <c r="B29" s="9"/>
      <c r="C29" s="9"/>
      <c r="D29" s="19">
        <f t="shared" ref="D29:J29" si="5">+D28+D19</f>
        <v>416646689.54999995</v>
      </c>
      <c r="E29" s="19">
        <f t="shared" si="5"/>
        <v>19737913.990000002</v>
      </c>
      <c r="F29" s="19">
        <f t="shared" si="5"/>
        <v>246968.49</v>
      </c>
      <c r="G29" s="19">
        <f t="shared" si="5"/>
        <v>24972542.920000002</v>
      </c>
      <c r="H29" s="19">
        <f t="shared" si="5"/>
        <v>8758347.5</v>
      </c>
      <c r="I29" s="19">
        <f t="shared" si="5"/>
        <v>1144397.81</v>
      </c>
      <c r="J29" s="19">
        <f t="shared" si="5"/>
        <v>471506860.25999999</v>
      </c>
      <c r="M29" s="19">
        <f>+M28+M19</f>
        <v>428768323.95999998</v>
      </c>
    </row>
    <row r="30" spans="1:15" ht="18.75" thickTop="1" x14ac:dyDescent="0.4">
      <c r="A30" s="9" t="s">
        <v>48</v>
      </c>
      <c r="B30" s="9"/>
      <c r="C30" s="9"/>
      <c r="D30" s="11"/>
      <c r="E30" s="11"/>
    </row>
    <row r="31" spans="1:15" x14ac:dyDescent="0.4">
      <c r="A31" s="9"/>
      <c r="B31" s="9" t="s">
        <v>78</v>
      </c>
      <c r="C31" s="9"/>
      <c r="D31" s="11"/>
      <c r="E31" s="11"/>
      <c r="J31" s="1">
        <f t="shared" ref="J31:J39" si="6">+I31+H31+G31+F31+E31+D31</f>
        <v>0</v>
      </c>
      <c r="M31" s="1">
        <f t="shared" si="1"/>
        <v>0</v>
      </c>
    </row>
    <row r="32" spans="1:15" x14ac:dyDescent="0.4">
      <c r="A32" s="9"/>
      <c r="B32" s="9" t="s">
        <v>82</v>
      </c>
      <c r="C32" s="9"/>
      <c r="D32" s="11"/>
      <c r="E32" s="65">
        <v>-85088.98</v>
      </c>
      <c r="F32" s="59">
        <v>-2456075.3199999998</v>
      </c>
      <c r="G32" s="66">
        <v>-2094887.81</v>
      </c>
      <c r="J32" s="1">
        <f t="shared" si="6"/>
        <v>-4636052.1100000003</v>
      </c>
      <c r="L32" s="1">
        <v>4636052.1100000003</v>
      </c>
      <c r="M32" s="1">
        <f t="shared" si="1"/>
        <v>0</v>
      </c>
    </row>
    <row r="33" spans="1:15" x14ac:dyDescent="0.4">
      <c r="A33" s="9"/>
      <c r="B33" s="9" t="s">
        <v>83</v>
      </c>
      <c r="C33" s="9"/>
      <c r="D33" s="11"/>
      <c r="E33" s="11"/>
      <c r="J33" s="1">
        <f t="shared" si="6"/>
        <v>0</v>
      </c>
      <c r="M33" s="1">
        <f t="shared" si="1"/>
        <v>0</v>
      </c>
    </row>
    <row r="34" spans="1:15" x14ac:dyDescent="0.4">
      <c r="A34" s="9"/>
      <c r="B34" s="9" t="s">
        <v>49</v>
      </c>
      <c r="C34" s="9"/>
      <c r="D34" s="11"/>
      <c r="E34" s="11"/>
      <c r="J34" s="1">
        <f t="shared" si="6"/>
        <v>0</v>
      </c>
      <c r="M34" s="1">
        <f t="shared" si="1"/>
        <v>0</v>
      </c>
    </row>
    <row r="35" spans="1:15" x14ac:dyDescent="0.4">
      <c r="A35" s="9"/>
      <c r="B35" s="9"/>
      <c r="C35" s="9" t="s">
        <v>88</v>
      </c>
      <c r="D35" s="11">
        <v>-7229144</v>
      </c>
      <c r="E35" s="11"/>
      <c r="J35" s="1">
        <f t="shared" si="6"/>
        <v>-7229144</v>
      </c>
      <c r="M35" s="1">
        <f t="shared" si="1"/>
        <v>-7229144</v>
      </c>
    </row>
    <row r="36" spans="1:15" x14ac:dyDescent="0.4">
      <c r="A36" s="9"/>
      <c r="B36" s="9"/>
      <c r="C36" s="9" t="s">
        <v>11</v>
      </c>
      <c r="D36" s="11">
        <v>-2880868.96</v>
      </c>
      <c r="E36" s="11">
        <f>-371365.7-1002625+92587.07-27500</f>
        <v>-1308903.6299999999</v>
      </c>
      <c r="F36" s="1">
        <f>-401885-27500</f>
        <v>-429385</v>
      </c>
      <c r="G36" s="2">
        <v>-27500</v>
      </c>
      <c r="J36" s="1">
        <f>+I36+H36+G36+F36+E36+D36</f>
        <v>-4646657.59</v>
      </c>
      <c r="K36" s="55" t="s">
        <v>85</v>
      </c>
      <c r="L36" s="1">
        <v>90000</v>
      </c>
      <c r="M36" s="1">
        <f t="shared" si="1"/>
        <v>-4556657.59</v>
      </c>
    </row>
    <row r="37" spans="1:15" x14ac:dyDescent="0.4">
      <c r="A37" s="9"/>
      <c r="B37" s="9"/>
      <c r="C37" s="9" t="s">
        <v>26</v>
      </c>
      <c r="D37" s="11"/>
      <c r="E37" s="11">
        <v>0</v>
      </c>
      <c r="F37" s="1">
        <v>0</v>
      </c>
      <c r="G37" s="2">
        <v>0</v>
      </c>
      <c r="J37" s="1">
        <f t="shared" si="6"/>
        <v>0</v>
      </c>
      <c r="M37" s="1">
        <f t="shared" si="1"/>
        <v>0</v>
      </c>
    </row>
    <row r="38" spans="1:15" x14ac:dyDescent="0.4">
      <c r="A38" s="9"/>
      <c r="B38" s="9"/>
      <c r="C38" s="9" t="s">
        <v>12</v>
      </c>
      <c r="D38" s="11">
        <f>-13204842.35-0.01</f>
        <v>-13204842.359999999</v>
      </c>
      <c r="E38" s="11">
        <f>-4614429.72+150730.5--300787.5</f>
        <v>-4162911.7199999997</v>
      </c>
      <c r="F38" s="1">
        <v>0</v>
      </c>
      <c r="G38" s="2">
        <v>0</v>
      </c>
      <c r="J38" s="1">
        <f t="shared" si="6"/>
        <v>-17367754.079999998</v>
      </c>
      <c r="M38" s="1">
        <f t="shared" si="1"/>
        <v>-17367754.079999998</v>
      </c>
    </row>
    <row r="39" spans="1:15" x14ac:dyDescent="0.4">
      <c r="A39" s="9"/>
      <c r="B39" s="9"/>
      <c r="C39" s="9" t="s">
        <v>43</v>
      </c>
      <c r="D39" s="5">
        <v>-5637669.7599999998</v>
      </c>
      <c r="E39" s="11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1">
        <f t="shared" si="6"/>
        <v>-5983125.4899999993</v>
      </c>
      <c r="M39" s="1">
        <f t="shared" si="1"/>
        <v>-5983125.4899999993</v>
      </c>
      <c r="O39" s="4">
        <f>5983125.49+M39</f>
        <v>0</v>
      </c>
    </row>
    <row r="40" spans="1:15" x14ac:dyDescent="0.4">
      <c r="A40" s="9"/>
      <c r="B40" s="9"/>
      <c r="C40" s="9" t="s">
        <v>20</v>
      </c>
      <c r="D40" s="16">
        <f>SUM(D31:D39)</f>
        <v>-28952525.079999998</v>
      </c>
      <c r="E40" s="16">
        <f>SUM(E31:E39)</f>
        <v>-5692798.9299999997</v>
      </c>
      <c r="F40" s="16">
        <f t="shared" ref="F40:M40" si="7">SUM(F31:F39)</f>
        <v>-3000239.17</v>
      </c>
      <c r="G40" s="16">
        <f t="shared" si="7"/>
        <v>-2217170.09</v>
      </c>
      <c r="H40" s="16">
        <f t="shared" si="7"/>
        <v>0</v>
      </c>
      <c r="I40" s="16">
        <f t="shared" si="7"/>
        <v>0</v>
      </c>
      <c r="J40" s="16">
        <f t="shared" si="7"/>
        <v>-39862733.270000003</v>
      </c>
      <c r="L40" s="17"/>
      <c r="M40" s="16">
        <f t="shared" si="7"/>
        <v>-35136681.159999996</v>
      </c>
    </row>
    <row r="41" spans="1:15" x14ac:dyDescent="0.4">
      <c r="A41" s="9" t="s">
        <v>50</v>
      </c>
      <c r="B41" s="9"/>
      <c r="C41" s="9"/>
      <c r="D41" s="11"/>
      <c r="E41" s="11"/>
    </row>
    <row r="42" spans="1:15" x14ac:dyDescent="0.4">
      <c r="A42" s="9"/>
      <c r="B42" s="9" t="s">
        <v>0</v>
      </c>
      <c r="C42" s="9"/>
      <c r="D42" s="11"/>
      <c r="E42" s="1"/>
      <c r="H42" s="1">
        <v>0</v>
      </c>
      <c r="J42" s="1">
        <f>+I42+H42+G42+F42+E42+D42</f>
        <v>0</v>
      </c>
      <c r="M42" s="1">
        <f t="shared" si="1"/>
        <v>0</v>
      </c>
    </row>
    <row r="43" spans="1:15" x14ac:dyDescent="0.4">
      <c r="A43" s="9"/>
      <c r="B43" s="9"/>
      <c r="C43" s="9" t="s">
        <v>43</v>
      </c>
      <c r="D43" s="43">
        <v>-1662591.75</v>
      </c>
      <c r="E43" s="11"/>
      <c r="H43" s="1">
        <v>0</v>
      </c>
      <c r="J43" s="1">
        <f>+I43+H43+G43+F43+E43+D43</f>
        <v>-1662591.75</v>
      </c>
      <c r="K43" s="55" t="s">
        <v>110</v>
      </c>
      <c r="L43" s="1">
        <v>1662591.75</v>
      </c>
      <c r="M43" s="59">
        <f t="shared" si="1"/>
        <v>0</v>
      </c>
    </row>
    <row r="44" spans="1:15" x14ac:dyDescent="0.4">
      <c r="A44" s="9"/>
      <c r="B44" s="9"/>
      <c r="C44" s="9" t="s">
        <v>21</v>
      </c>
      <c r="D44" s="16">
        <f t="shared" ref="D44:J44" si="8">SUM(D42:D43)</f>
        <v>-1662591.75</v>
      </c>
      <c r="E44" s="16">
        <f t="shared" si="8"/>
        <v>0</v>
      </c>
      <c r="F44" s="16">
        <f t="shared" si="8"/>
        <v>0</v>
      </c>
      <c r="G44" s="16">
        <f t="shared" si="8"/>
        <v>0</v>
      </c>
      <c r="H44" s="16">
        <f t="shared" si="8"/>
        <v>0</v>
      </c>
      <c r="I44" s="16">
        <f t="shared" si="8"/>
        <v>0</v>
      </c>
      <c r="J44" s="16">
        <f t="shared" si="8"/>
        <v>-1662591.75</v>
      </c>
      <c r="M44" s="16">
        <f>SUM(M42:M43)</f>
        <v>0</v>
      </c>
    </row>
    <row r="45" spans="1:15" ht="18.75" thickBot="1" x14ac:dyDescent="0.45">
      <c r="A45" s="9"/>
      <c r="B45" s="9"/>
      <c r="C45" s="9" t="s">
        <v>22</v>
      </c>
      <c r="D45" s="19">
        <f t="shared" ref="D45:J45" si="9">+D44+D40</f>
        <v>-30615116.829999998</v>
      </c>
      <c r="E45" s="19">
        <f t="shared" si="9"/>
        <v>-5692798.9299999997</v>
      </c>
      <c r="F45" s="19">
        <f t="shared" si="9"/>
        <v>-3000239.17</v>
      </c>
      <c r="G45" s="19">
        <f t="shared" si="9"/>
        <v>-2217170.09</v>
      </c>
      <c r="H45" s="19">
        <f t="shared" si="9"/>
        <v>0</v>
      </c>
      <c r="I45" s="19">
        <f t="shared" si="9"/>
        <v>0</v>
      </c>
      <c r="J45" s="19">
        <f t="shared" si="9"/>
        <v>-41525325.020000003</v>
      </c>
      <c r="M45" s="19">
        <f>+M44+M40</f>
        <v>-35136681.159999996</v>
      </c>
    </row>
    <row r="46" spans="1:15" ht="18.75" thickTop="1" x14ac:dyDescent="0.4">
      <c r="A46" s="9" t="s">
        <v>51</v>
      </c>
      <c r="B46" s="9"/>
      <c r="C46" s="9"/>
      <c r="D46" s="11"/>
      <c r="E46" s="11"/>
    </row>
    <row r="47" spans="1:15" x14ac:dyDescent="0.4">
      <c r="A47" s="9"/>
      <c r="B47" s="9" t="s">
        <v>68</v>
      </c>
      <c r="C47" s="37"/>
      <c r="D47" s="11">
        <v>-362267781.5</v>
      </c>
      <c r="E47" s="11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1">
        <f t="shared" ref="J47:J58" si="10">+I47+H47+G47+F47+E47+D47</f>
        <v>-429199781.5</v>
      </c>
      <c r="K47" s="55" t="s">
        <v>87</v>
      </c>
      <c r="L47" s="1">
        <v>56419678</v>
      </c>
      <c r="M47" s="1">
        <f>+L47+J47+L48</f>
        <v>-362267781.5</v>
      </c>
    </row>
    <row r="48" spans="1:15" x14ac:dyDescent="0.4">
      <c r="A48" s="9"/>
      <c r="B48" s="9" t="s">
        <v>23</v>
      </c>
      <c r="C48" s="34"/>
      <c r="D48" s="11"/>
      <c r="E48" s="11"/>
      <c r="J48" s="1">
        <f t="shared" si="10"/>
        <v>0</v>
      </c>
      <c r="K48" s="55" t="s">
        <v>111</v>
      </c>
      <c r="L48" s="1">
        <f>425+5001000+4294+4326700+1179903</f>
        <v>10512322</v>
      </c>
    </row>
    <row r="49" spans="1:16" x14ac:dyDescent="0.4">
      <c r="A49" s="9"/>
      <c r="B49" s="9" t="s">
        <v>56</v>
      </c>
      <c r="C49" s="34"/>
      <c r="D49" s="11">
        <f>-28397546.2+67118444.17</f>
        <v>38720897.969999999</v>
      </c>
      <c r="E49" s="11"/>
      <c r="J49" s="1">
        <f t="shared" si="10"/>
        <v>38720897.969999999</v>
      </c>
      <c r="M49" s="1">
        <f t="shared" si="1"/>
        <v>38720897.969999999</v>
      </c>
    </row>
    <row r="50" spans="1:16" x14ac:dyDescent="0.4">
      <c r="A50" s="9"/>
      <c r="B50" s="9" t="s">
        <v>57</v>
      </c>
      <c r="C50" s="34"/>
      <c r="D50" s="11"/>
      <c r="E50" s="11"/>
      <c r="H50" s="1">
        <v>111655.85</v>
      </c>
      <c r="I50" s="1">
        <v>38737.33</v>
      </c>
      <c r="J50" s="1">
        <f t="shared" si="10"/>
        <v>150393.18</v>
      </c>
      <c r="M50" s="1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9"/>
      <c r="B51" s="9" t="s">
        <v>108</v>
      </c>
      <c r="C51" s="34"/>
      <c r="D51" s="43">
        <f>-22681399.34+23463363.08</f>
        <v>781963.73999999836</v>
      </c>
      <c r="E51" s="11"/>
      <c r="J51" s="1">
        <f t="shared" si="10"/>
        <v>781963.73999999836</v>
      </c>
      <c r="K51" s="62" t="s">
        <v>109</v>
      </c>
      <c r="L51" s="61">
        <f>-1250375-21431024.34</f>
        <v>-22681399.34</v>
      </c>
      <c r="M51" s="60">
        <f>+J51+L51+L52+L53</f>
        <v>0</v>
      </c>
    </row>
    <row r="52" spans="1:16" x14ac:dyDescent="0.4">
      <c r="A52" s="9"/>
      <c r="B52" s="9"/>
      <c r="C52" s="34"/>
      <c r="D52" s="11"/>
      <c r="E52" s="11"/>
      <c r="K52" s="67" t="s">
        <v>110</v>
      </c>
      <c r="L52" s="68"/>
    </row>
    <row r="53" spans="1:16" x14ac:dyDescent="0.4">
      <c r="A53" s="9"/>
      <c r="B53" s="9"/>
      <c r="C53" s="34"/>
      <c r="D53" s="11"/>
      <c r="E53" s="11"/>
      <c r="K53" s="63" t="s">
        <v>114</v>
      </c>
      <c r="L53" s="64">
        <v>21899435.600000001</v>
      </c>
    </row>
    <row r="54" spans="1:16" x14ac:dyDescent="0.4">
      <c r="A54" s="9"/>
      <c r="B54" s="9" t="s">
        <v>58</v>
      </c>
      <c r="C54" s="9"/>
      <c r="D54" s="11"/>
      <c r="E54" s="11"/>
      <c r="J54" s="1">
        <f t="shared" si="10"/>
        <v>0</v>
      </c>
      <c r="M54" s="1">
        <f t="shared" si="1"/>
        <v>0</v>
      </c>
    </row>
    <row r="55" spans="1:16" x14ac:dyDescent="0.4">
      <c r="A55" s="9"/>
      <c r="B55" s="9"/>
      <c r="C55" s="9" t="s">
        <v>35</v>
      </c>
      <c r="D55" s="12">
        <v>-2962180.66</v>
      </c>
      <c r="E55" s="12"/>
      <c r="J55" s="1">
        <f t="shared" si="10"/>
        <v>-2962180.66</v>
      </c>
      <c r="M55" s="1">
        <f t="shared" si="1"/>
        <v>-2962180.66</v>
      </c>
    </row>
    <row r="56" spans="1:16" x14ac:dyDescent="0.4">
      <c r="A56" s="9"/>
      <c r="B56" s="9"/>
      <c r="C56" s="9" t="s">
        <v>116</v>
      </c>
      <c r="D56" s="74">
        <f>+D89</f>
        <v>-4023039.7100000009</v>
      </c>
      <c r="E56" s="12">
        <f>+E89</f>
        <v>-9262083.7899999991</v>
      </c>
      <c r="F56" s="12">
        <f>+F89</f>
        <v>1090678.93</v>
      </c>
      <c r="G56" s="12">
        <f>+G89</f>
        <v>1566605.83</v>
      </c>
      <c r="H56" s="12">
        <f>H89</f>
        <v>-40003.350000000006</v>
      </c>
      <c r="I56" s="12">
        <f>+I89</f>
        <v>-271135.14</v>
      </c>
      <c r="J56" s="60">
        <f t="shared" si="10"/>
        <v>-10938977.23</v>
      </c>
      <c r="K56" s="51" t="s">
        <v>124</v>
      </c>
      <c r="L56" s="1">
        <f>+L89</f>
        <v>-525007.16</v>
      </c>
      <c r="M56" s="77">
        <f>+L56+J56</f>
        <v>-11463984.390000001</v>
      </c>
    </row>
    <row r="57" spans="1:16" x14ac:dyDescent="0.4">
      <c r="A57" s="9"/>
      <c r="B57" s="9"/>
      <c r="C57" s="9"/>
      <c r="D57" s="12"/>
      <c r="E57" s="12"/>
      <c r="F57" s="12"/>
      <c r="G57" s="12"/>
      <c r="H57" s="12"/>
      <c r="I57" s="56"/>
      <c r="K57" s="62" t="s">
        <v>114</v>
      </c>
      <c r="L57" s="57">
        <f>-(+E58+F58+G58+H58+I58)</f>
        <v>-29747581.820000004</v>
      </c>
    </row>
    <row r="58" spans="1:16" x14ac:dyDescent="0.4">
      <c r="A58" s="9"/>
      <c r="B58" s="9"/>
      <c r="C58" s="9" t="s">
        <v>115</v>
      </c>
      <c r="D58" s="75">
        <v>-56281432.560000002</v>
      </c>
      <c r="E58" s="22">
        <f>-533031.27</f>
        <v>-533031.27</v>
      </c>
      <c r="F58" s="46">
        <f>11662591.75</f>
        <v>11662591.75</v>
      </c>
      <c r="G58" s="50">
        <f>20184627.17-G56</f>
        <v>18618021.340000004</v>
      </c>
      <c r="H58" s="46">
        <v>0</v>
      </c>
      <c r="I58" s="46">
        <v>0</v>
      </c>
      <c r="J58" s="60">
        <f t="shared" si="10"/>
        <v>-26533850.739999998</v>
      </c>
      <c r="L58" s="29"/>
      <c r="M58" s="76">
        <f>+L58+J58+L57</f>
        <v>-56281432.560000002</v>
      </c>
    </row>
    <row r="59" spans="1:16" x14ac:dyDescent="0.4">
      <c r="A59" s="9"/>
      <c r="B59" s="9"/>
      <c r="C59" s="9" t="s">
        <v>36</v>
      </c>
      <c r="D59" s="11">
        <f>SUM(D47:D58)</f>
        <v>-386031572.71999997</v>
      </c>
      <c r="E59" s="11">
        <f t="shared" ref="E59:J59" si="11">SUM(E47:E58)</f>
        <v>-14045115.059999999</v>
      </c>
      <c r="F59" s="11">
        <f t="shared" si="11"/>
        <v>2753270.6799999997</v>
      </c>
      <c r="G59" s="11">
        <f t="shared" si="11"/>
        <v>-22755372.829999998</v>
      </c>
      <c r="H59" s="11">
        <f t="shared" si="11"/>
        <v>-8758347.5</v>
      </c>
      <c r="I59" s="11">
        <f t="shared" si="11"/>
        <v>-1144397.81</v>
      </c>
      <c r="J59" s="11">
        <f t="shared" si="11"/>
        <v>-429981535.24000001</v>
      </c>
      <c r="M59" s="11">
        <f>SUM(M47:M58)</f>
        <v>-394104087.95999998</v>
      </c>
    </row>
    <row r="60" spans="1:16" x14ac:dyDescent="0.4">
      <c r="A60" s="9"/>
      <c r="B60" s="9" t="s">
        <v>2</v>
      </c>
      <c r="C60" s="9"/>
      <c r="D60" s="17"/>
      <c r="E60" s="17"/>
      <c r="F60" s="17"/>
      <c r="G60" s="17"/>
      <c r="H60" s="17"/>
      <c r="I60" s="17"/>
      <c r="J60" s="17"/>
      <c r="K60" s="55" t="s">
        <v>111</v>
      </c>
      <c r="L60" s="1">
        <f>-L48</f>
        <v>-10512322</v>
      </c>
      <c r="M60" s="1">
        <f>+J60+L60+L61+L65+L64+L63+L62</f>
        <v>472445.15999999968</v>
      </c>
    </row>
    <row r="61" spans="1:16" x14ac:dyDescent="0.4">
      <c r="A61" s="9"/>
      <c r="B61" s="9"/>
      <c r="C61" s="9"/>
      <c r="D61" s="22"/>
      <c r="E61" s="22"/>
      <c r="F61" s="22"/>
      <c r="G61" s="22"/>
      <c r="H61" s="22"/>
      <c r="I61" s="22"/>
      <c r="J61" s="22"/>
      <c r="K61" s="67" t="s">
        <v>117</v>
      </c>
      <c r="L61" s="1">
        <v>7848146.2199999997</v>
      </c>
    </row>
    <row r="62" spans="1:16" x14ac:dyDescent="0.4">
      <c r="A62" s="9"/>
      <c r="B62" s="9"/>
      <c r="C62" s="9"/>
      <c r="D62" s="17"/>
      <c r="E62" s="17"/>
      <c r="F62" s="17"/>
      <c r="G62" s="17"/>
      <c r="H62" s="17"/>
      <c r="I62" s="17"/>
      <c r="J62" s="17"/>
      <c r="K62" s="55" t="str">
        <f>+K43</f>
        <v>5)AJE ประมาณการชาดทุน</v>
      </c>
      <c r="L62" s="1">
        <f>-L43</f>
        <v>-1662591.75</v>
      </c>
    </row>
    <row r="63" spans="1:16" x14ac:dyDescent="0.4">
      <c r="A63" s="9"/>
      <c r="B63" s="9"/>
      <c r="C63" s="9"/>
      <c r="D63" s="17"/>
      <c r="E63" s="17"/>
      <c r="F63" s="17"/>
      <c r="G63" s="17"/>
      <c r="H63" s="17"/>
      <c r="I63" s="17"/>
      <c r="J63" s="17"/>
      <c r="K63" s="51" t="s">
        <v>130</v>
      </c>
      <c r="L63" s="1">
        <f>-L10</f>
        <v>4274821.25</v>
      </c>
    </row>
    <row r="64" spans="1:16" x14ac:dyDescent="0.4">
      <c r="A64" s="9"/>
      <c r="B64" s="9"/>
      <c r="C64" s="9"/>
      <c r="D64" s="17"/>
      <c r="E64" s="17"/>
      <c r="F64" s="17"/>
      <c r="G64" s="17"/>
      <c r="H64" s="17"/>
      <c r="I64" s="17"/>
      <c r="J64" s="17"/>
      <c r="K64" s="67"/>
      <c r="L64" s="1">
        <f>-L18</f>
        <v>-615.72</v>
      </c>
    </row>
    <row r="65" spans="1:15" x14ac:dyDescent="0.4">
      <c r="A65" s="9"/>
      <c r="B65" s="9"/>
      <c r="C65" s="9" t="s">
        <v>24</v>
      </c>
      <c r="D65" s="11">
        <f t="shared" ref="D65:J65" si="12">+D60+D59</f>
        <v>-386031572.71999997</v>
      </c>
      <c r="E65" s="11">
        <f t="shared" si="12"/>
        <v>-14045115.059999999</v>
      </c>
      <c r="F65" s="11">
        <f t="shared" si="12"/>
        <v>2753270.6799999997</v>
      </c>
      <c r="G65" s="11">
        <f t="shared" si="12"/>
        <v>-22755372.829999998</v>
      </c>
      <c r="H65" s="11">
        <f t="shared" si="12"/>
        <v>-8758347.5</v>
      </c>
      <c r="I65" s="11">
        <f t="shared" si="12"/>
        <v>-1144397.81</v>
      </c>
      <c r="J65" s="11">
        <f t="shared" si="12"/>
        <v>-429981535.24000001</v>
      </c>
      <c r="K65" s="58" t="s">
        <v>119</v>
      </c>
      <c r="L65" s="1">
        <f>-L88</f>
        <v>525007.16</v>
      </c>
      <c r="M65" s="11">
        <f>+M60+M59</f>
        <v>-393631642.79999995</v>
      </c>
    </row>
    <row r="66" spans="1:15" ht="18.75" thickBot="1" x14ac:dyDescent="0.45">
      <c r="A66" s="9" t="s">
        <v>38</v>
      </c>
      <c r="B66" s="9"/>
      <c r="C66" s="9"/>
      <c r="D66" s="19">
        <f t="shared" ref="D66:J66" si="13">+D65+D45</f>
        <v>-416646689.54999995</v>
      </c>
      <c r="E66" s="19">
        <f t="shared" si="13"/>
        <v>-19737913.989999998</v>
      </c>
      <c r="F66" s="19">
        <f t="shared" si="13"/>
        <v>-246968.49000000022</v>
      </c>
      <c r="G66" s="19">
        <f t="shared" si="13"/>
        <v>-24972542.919999998</v>
      </c>
      <c r="H66" s="19">
        <f t="shared" si="13"/>
        <v>-8758347.5</v>
      </c>
      <c r="I66" s="19">
        <f t="shared" si="13"/>
        <v>-1144397.81</v>
      </c>
      <c r="J66" s="19">
        <f t="shared" si="13"/>
        <v>-471506860.25999999</v>
      </c>
      <c r="M66" s="19">
        <f>+M65+M45</f>
        <v>-428768323.95999992</v>
      </c>
    </row>
    <row r="67" spans="1:15" ht="18.75" thickTop="1" x14ac:dyDescent="0.4">
      <c r="A67" s="9"/>
      <c r="B67" s="9"/>
      <c r="C67" s="9"/>
      <c r="D67" s="17">
        <f t="shared" ref="D67:J67" si="14">+D66+D29</f>
        <v>0</v>
      </c>
      <c r="E67" s="38">
        <f t="shared" si="14"/>
        <v>0</v>
      </c>
      <c r="F67" s="38">
        <f t="shared" si="14"/>
        <v>-2.3283064365386963E-10</v>
      </c>
      <c r="G67" s="38">
        <f t="shared" si="14"/>
        <v>0</v>
      </c>
      <c r="H67" s="38">
        <f t="shared" si="14"/>
        <v>0</v>
      </c>
      <c r="I67" s="38">
        <f t="shared" si="14"/>
        <v>0</v>
      </c>
      <c r="J67" s="38">
        <f t="shared" si="14"/>
        <v>0</v>
      </c>
      <c r="K67" s="54" t="s">
        <v>79</v>
      </c>
      <c r="L67" s="40">
        <f>SUM(L6:L66)</f>
        <v>0</v>
      </c>
      <c r="M67" s="38">
        <f>+M66+M29</f>
        <v>0</v>
      </c>
    </row>
    <row r="68" spans="1:15" x14ac:dyDescent="0.4">
      <c r="A68" s="9"/>
      <c r="B68" s="9"/>
      <c r="C68" s="10"/>
      <c r="D68" s="10"/>
      <c r="E68" s="10"/>
    </row>
    <row r="69" spans="1:15" ht="18" customHeight="1" x14ac:dyDescent="0.4">
      <c r="A69" s="44" t="s">
        <v>3</v>
      </c>
      <c r="B69" s="44"/>
      <c r="C69" s="44"/>
      <c r="D69" s="44"/>
      <c r="E69" s="44"/>
    </row>
    <row r="70" spans="1:15" x14ac:dyDescent="0.4">
      <c r="A70" s="9" t="s">
        <v>39</v>
      </c>
      <c r="B70" s="9"/>
      <c r="C70" s="9"/>
      <c r="D70" s="11"/>
      <c r="E70" s="11"/>
    </row>
    <row r="71" spans="1:15" x14ac:dyDescent="0.4">
      <c r="A71" s="9"/>
      <c r="B71" s="9" t="s">
        <v>59</v>
      </c>
      <c r="C71" s="9"/>
      <c r="D71" s="17">
        <v>-10893533.35</v>
      </c>
      <c r="E71" s="11">
        <v>-15052500</v>
      </c>
      <c r="F71" s="1">
        <v>0</v>
      </c>
      <c r="G71" s="2">
        <v>0</v>
      </c>
      <c r="H71" s="2">
        <v>0</v>
      </c>
      <c r="I71" s="2">
        <v>-300000</v>
      </c>
      <c r="J71" s="1">
        <f>+I71+H71+G71+F71+E71+D71</f>
        <v>-26246033.350000001</v>
      </c>
      <c r="K71" s="55" t="s">
        <v>86</v>
      </c>
      <c r="L71" s="1">
        <f>223380.11+234143.83+817793.77+265956</f>
        <v>1541273.71</v>
      </c>
      <c r="M71" s="1">
        <f t="shared" si="1"/>
        <v>-24704759.640000001</v>
      </c>
      <c r="O71" s="4">
        <f>24704759.64+M71</f>
        <v>0</v>
      </c>
    </row>
    <row r="72" spans="1:15" x14ac:dyDescent="0.4">
      <c r="A72" s="9"/>
      <c r="B72" s="9" t="s">
        <v>42</v>
      </c>
      <c r="C72" s="9"/>
      <c r="D72" s="11"/>
      <c r="E72" s="11"/>
      <c r="H72" s="2"/>
      <c r="I72" s="2"/>
      <c r="J72" s="1">
        <f>+I72+H72+G72+F72+E72+D72</f>
        <v>0</v>
      </c>
      <c r="M72" s="1">
        <f t="shared" si="1"/>
        <v>0</v>
      </c>
    </row>
    <row r="73" spans="1:15" x14ac:dyDescent="0.4">
      <c r="A73" s="9"/>
      <c r="B73" s="9"/>
      <c r="C73" s="9" t="s">
        <v>13</v>
      </c>
      <c r="D73" s="17">
        <v>-2818284.07</v>
      </c>
      <c r="E73" s="11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1">
        <f>+I73+H73+G73+F73+E73+D73</f>
        <v>-2929373.9099999997</v>
      </c>
      <c r="M73" s="1">
        <f t="shared" si="1"/>
        <v>-2929373.9099999997</v>
      </c>
      <c r="O73" s="4">
        <f>2929373.91+M73</f>
        <v>0</v>
      </c>
    </row>
    <row r="74" spans="1:15" x14ac:dyDescent="0.4">
      <c r="A74" s="9"/>
      <c r="B74" s="9"/>
      <c r="C74" s="9" t="s">
        <v>43</v>
      </c>
      <c r="D74" s="11">
        <v>-3426490.45</v>
      </c>
      <c r="E74" s="11">
        <v>0</v>
      </c>
      <c r="F74" s="1">
        <v>0</v>
      </c>
      <c r="G74" s="2">
        <v>0</v>
      </c>
      <c r="H74" s="2">
        <v>-63528.73</v>
      </c>
      <c r="I74" s="2"/>
      <c r="J74" s="1">
        <f>+I74+H74+G74+F74+E74+D74</f>
        <v>-3490019.18</v>
      </c>
      <c r="K74" s="55"/>
      <c r="M74" s="1">
        <f t="shared" si="1"/>
        <v>-3490019.18</v>
      </c>
      <c r="O74" s="4">
        <f>3490019.18+M74</f>
        <v>0</v>
      </c>
    </row>
    <row r="75" spans="1:15" x14ac:dyDescent="0.4">
      <c r="A75" s="9"/>
      <c r="B75" s="9" t="s">
        <v>5</v>
      </c>
      <c r="C75" s="9"/>
      <c r="D75" s="11"/>
      <c r="E75" s="11"/>
      <c r="H75" s="2"/>
      <c r="I75" s="2"/>
      <c r="J75" s="1">
        <f>+I75+H75+G75+F75+E75+D75</f>
        <v>0</v>
      </c>
      <c r="M75" s="1">
        <f t="shared" si="1"/>
        <v>0</v>
      </c>
    </row>
    <row r="76" spans="1:15" x14ac:dyDescent="0.4">
      <c r="A76" s="9"/>
      <c r="B76" s="9"/>
      <c r="C76" s="9" t="s">
        <v>14</v>
      </c>
      <c r="D76" s="16">
        <f t="shared" ref="D76:J76" si="15">SUM(D71:D75)</f>
        <v>-17138307.870000001</v>
      </c>
      <c r="E76" s="16">
        <f t="shared" si="15"/>
        <v>-15158110.43</v>
      </c>
      <c r="F76" s="16">
        <f t="shared" si="15"/>
        <v>0</v>
      </c>
      <c r="G76" s="16">
        <f t="shared" si="15"/>
        <v>0</v>
      </c>
      <c r="H76" s="16">
        <f t="shared" si="15"/>
        <v>-69007.570000000007</v>
      </c>
      <c r="I76" s="16">
        <f t="shared" si="15"/>
        <v>-300000.57</v>
      </c>
      <c r="J76" s="16">
        <f t="shared" si="15"/>
        <v>-32665426.440000001</v>
      </c>
      <c r="M76" s="16">
        <f>SUM(M71:M75)</f>
        <v>-31124152.73</v>
      </c>
      <c r="O76" s="4">
        <f>31124152.73+M76</f>
        <v>0</v>
      </c>
    </row>
    <row r="77" spans="1:15" x14ac:dyDescent="0.4">
      <c r="A77" s="9" t="s">
        <v>40</v>
      </c>
      <c r="B77" s="9"/>
      <c r="C77" s="9"/>
      <c r="D77" s="11"/>
      <c r="E77" s="11"/>
      <c r="H77" s="2"/>
      <c r="I77" s="2"/>
      <c r="J77" s="2"/>
      <c r="M77" s="1">
        <f t="shared" si="1"/>
        <v>0</v>
      </c>
    </row>
    <row r="78" spans="1:15" x14ac:dyDescent="0.4">
      <c r="A78" s="9"/>
      <c r="B78" s="9" t="s">
        <v>7</v>
      </c>
      <c r="C78" s="9"/>
      <c r="D78" s="11">
        <v>5248379.3499999996</v>
      </c>
      <c r="E78" s="11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1">
        <f>+I78+H78+G78+F78+E78+D78</f>
        <v>7350677.8999999994</v>
      </c>
      <c r="L78" s="1">
        <v>-602250</v>
      </c>
      <c r="M78" s="1">
        <f t="shared" si="1"/>
        <v>6748427.8999999994</v>
      </c>
      <c r="O78" s="4">
        <f>6748427.9-M78</f>
        <v>0</v>
      </c>
    </row>
    <row r="79" spans="1:15" x14ac:dyDescent="0.4">
      <c r="A79" s="9"/>
      <c r="B79" s="9" t="s">
        <v>25</v>
      </c>
      <c r="C79" s="9"/>
      <c r="D79" s="11">
        <v>7439667.2199999997</v>
      </c>
      <c r="E79" s="11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1">
        <f>+I79+H79+G79+F79+E79+D79</f>
        <v>9979085.2400000002</v>
      </c>
      <c r="K79" s="55" t="s">
        <v>86</v>
      </c>
      <c r="L79" s="1">
        <f>-(223380.11+234143.83+817793.77)-(265956)+602250</f>
        <v>-939023.71</v>
      </c>
      <c r="M79" s="1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9"/>
      <c r="B80" s="9" t="s">
        <v>60</v>
      </c>
      <c r="C80" s="9"/>
      <c r="D80" s="11"/>
      <c r="E80" s="11"/>
      <c r="F80" s="2"/>
      <c r="H80" s="2">
        <v>0</v>
      </c>
      <c r="I80" s="2"/>
      <c r="J80" s="1">
        <f>+I80+H80+G80+F80+E80+D80</f>
        <v>0</v>
      </c>
      <c r="M80" s="1">
        <f t="shared" si="16"/>
        <v>0</v>
      </c>
    </row>
    <row r="81" spans="1:15" x14ac:dyDescent="0.4">
      <c r="A81" s="9"/>
      <c r="B81" s="9" t="s">
        <v>61</v>
      </c>
      <c r="C81" s="9"/>
      <c r="D81" s="11">
        <v>338000</v>
      </c>
      <c r="E81" s="11">
        <v>0</v>
      </c>
      <c r="F81" s="2"/>
      <c r="H81" s="2">
        <v>0</v>
      </c>
      <c r="I81" s="2"/>
      <c r="J81" s="1">
        <f>+I81+H81+G81+F81+E81+D81</f>
        <v>338000</v>
      </c>
      <c r="M81" s="1">
        <f t="shared" si="16"/>
        <v>338000</v>
      </c>
      <c r="O81" s="71"/>
    </row>
    <row r="82" spans="1:15" x14ac:dyDescent="0.4">
      <c r="A82" s="9"/>
      <c r="B82" s="9"/>
      <c r="C82" s="9" t="s">
        <v>6</v>
      </c>
      <c r="D82" s="16">
        <f t="shared" ref="D82:J82" si="17">SUM(D78:D81)</f>
        <v>13026046.57</v>
      </c>
      <c r="E82" s="16">
        <f t="shared" si="17"/>
        <v>1926562.1600000001</v>
      </c>
      <c r="F82" s="16">
        <f t="shared" si="17"/>
        <v>1090678.93</v>
      </c>
      <c r="G82" s="16">
        <f t="shared" si="17"/>
        <v>1566605.83</v>
      </c>
      <c r="H82" s="16">
        <f t="shared" si="17"/>
        <v>29004.22</v>
      </c>
      <c r="I82" s="16">
        <f t="shared" si="17"/>
        <v>28865.43</v>
      </c>
      <c r="J82" s="16">
        <f t="shared" si="17"/>
        <v>17667763.140000001</v>
      </c>
      <c r="M82" s="69">
        <f>SUM(M78:M81)</f>
        <v>16126489.43</v>
      </c>
    </row>
    <row r="83" spans="1:15" x14ac:dyDescent="0.4">
      <c r="A83" s="9"/>
      <c r="B83" s="9"/>
      <c r="C83" s="9" t="s">
        <v>129</v>
      </c>
      <c r="D83" s="11"/>
      <c r="E83" s="78">
        <f>4270251.98-3969464.48</f>
        <v>300787.50000000047</v>
      </c>
      <c r="F83" s="11"/>
      <c r="G83" s="11"/>
      <c r="H83" s="11"/>
      <c r="I83" s="11"/>
      <c r="J83" s="11"/>
      <c r="M83" s="1">
        <f t="shared" si="16"/>
        <v>0</v>
      </c>
    </row>
    <row r="84" spans="1:15" x14ac:dyDescent="0.4">
      <c r="A84" s="9" t="s">
        <v>15</v>
      </c>
      <c r="B84" s="9"/>
      <c r="C84" s="9"/>
      <c r="D84" s="11">
        <f t="shared" ref="D84:J84" si="18">+D76+D82</f>
        <v>-4112261.3000000007</v>
      </c>
      <c r="E84" s="11">
        <f t="shared" si="18"/>
        <v>-13231548.27</v>
      </c>
      <c r="F84" s="11">
        <f t="shared" si="18"/>
        <v>1090678.93</v>
      </c>
      <c r="G84" s="11">
        <f t="shared" si="18"/>
        <v>1566605.83</v>
      </c>
      <c r="H84" s="11">
        <f t="shared" si="18"/>
        <v>-40003.350000000006</v>
      </c>
      <c r="I84" s="11">
        <f t="shared" si="18"/>
        <v>-271135.14</v>
      </c>
      <c r="J84" s="11">
        <f t="shared" si="18"/>
        <v>-14997663.300000001</v>
      </c>
      <c r="M84" s="1">
        <f t="shared" si="16"/>
        <v>-14997663.300000001</v>
      </c>
    </row>
    <row r="85" spans="1:15" x14ac:dyDescent="0.4">
      <c r="A85" s="9" t="s">
        <v>41</v>
      </c>
      <c r="B85" s="9"/>
      <c r="C85" s="9"/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">
        <f>+I85+H85+G85+F85+E85+D85</f>
        <v>0</v>
      </c>
      <c r="M85" s="1">
        <f t="shared" si="16"/>
        <v>0</v>
      </c>
    </row>
    <row r="86" spans="1:15" x14ac:dyDescent="0.4">
      <c r="A86" s="9" t="s">
        <v>16</v>
      </c>
      <c r="B86" s="9"/>
      <c r="C86" s="9"/>
      <c r="D86" s="22">
        <v>89221.59</v>
      </c>
      <c r="E86" s="31">
        <f>4270251.98-300787.5</f>
        <v>3969464.4800000004</v>
      </c>
      <c r="F86" s="31">
        <v>0</v>
      </c>
      <c r="G86" s="31">
        <v>0</v>
      </c>
      <c r="H86" s="31">
        <v>0</v>
      </c>
      <c r="I86" s="31">
        <v>0</v>
      </c>
      <c r="J86" s="46">
        <f>+I86+H86+G86+F86+E86+D86</f>
        <v>4058686.0700000003</v>
      </c>
      <c r="M86" s="46">
        <f t="shared" si="16"/>
        <v>4058686.0700000003</v>
      </c>
    </row>
    <row r="87" spans="1:15" x14ac:dyDescent="0.4">
      <c r="A87" s="9" t="s">
        <v>29</v>
      </c>
      <c r="B87" s="9"/>
      <c r="C87" s="9"/>
      <c r="D87" s="10">
        <f>SUM(D84:D86)</f>
        <v>-4023039.7100000009</v>
      </c>
      <c r="E87" s="10">
        <f t="shared" ref="E87:J87" si="19">SUM(E84:E86)</f>
        <v>-9262083.7899999991</v>
      </c>
      <c r="F87" s="10">
        <f t="shared" si="19"/>
        <v>1090678.93</v>
      </c>
      <c r="G87" s="10">
        <f t="shared" si="19"/>
        <v>1566605.83</v>
      </c>
      <c r="H87" s="10">
        <f t="shared" si="19"/>
        <v>-40003.350000000006</v>
      </c>
      <c r="I87" s="10">
        <f t="shared" si="19"/>
        <v>-271135.14</v>
      </c>
      <c r="J87" s="10">
        <f t="shared" si="19"/>
        <v>-10938977.23</v>
      </c>
      <c r="M87" s="1">
        <f>SUM(M84:M86)</f>
        <v>-10938977.23</v>
      </c>
    </row>
    <row r="88" spans="1:15" x14ac:dyDescent="0.4">
      <c r="A88" s="9" t="s">
        <v>37</v>
      </c>
      <c r="B88" s="9"/>
      <c r="C88" s="9"/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55" t="s">
        <v>123</v>
      </c>
      <c r="L88" s="1">
        <v>-525007.16</v>
      </c>
      <c r="M88" s="46">
        <f t="shared" si="16"/>
        <v>-525007.16</v>
      </c>
    </row>
    <row r="89" spans="1:15" ht="18.75" thickBot="1" x14ac:dyDescent="0.45">
      <c r="A89" s="9" t="s">
        <v>30</v>
      </c>
      <c r="B89" s="9"/>
      <c r="C89" s="9"/>
      <c r="D89" s="19">
        <f t="shared" ref="D89:J89" si="20">SUM(D87:D88)</f>
        <v>-4023039.7100000009</v>
      </c>
      <c r="E89" s="19">
        <f t="shared" si="20"/>
        <v>-9262083.7899999991</v>
      </c>
      <c r="F89" s="19">
        <f t="shared" si="20"/>
        <v>1090678.93</v>
      </c>
      <c r="G89" s="19">
        <f t="shared" si="20"/>
        <v>1566605.83</v>
      </c>
      <c r="H89" s="19">
        <f t="shared" si="20"/>
        <v>-40003.350000000006</v>
      </c>
      <c r="I89" s="19">
        <f t="shared" si="20"/>
        <v>-271135.14</v>
      </c>
      <c r="J89" s="19">
        <f t="shared" si="20"/>
        <v>-10938977.23</v>
      </c>
      <c r="L89" s="1">
        <f>+SUM(L71:L88)</f>
        <v>-525007.16</v>
      </c>
      <c r="M89" s="70">
        <f>SUM(M87:M88)</f>
        <v>-11463984.390000001</v>
      </c>
    </row>
    <row r="90" spans="1:15" ht="9.9499999999999993" customHeight="1" thickTop="1" x14ac:dyDescent="0.4">
      <c r="A90" s="9"/>
      <c r="B90" s="9"/>
      <c r="C90" s="9"/>
      <c r="D90" s="17"/>
      <c r="E90" s="17"/>
      <c r="F90" s="2"/>
      <c r="G90" s="17"/>
      <c r="H90" s="17"/>
      <c r="I90" s="2"/>
      <c r="J90" s="2"/>
      <c r="M90" s="1">
        <f t="shared" si="16"/>
        <v>0</v>
      </c>
    </row>
    <row r="91" spans="1:15" x14ac:dyDescent="0.4">
      <c r="M91" s="1">
        <f t="shared" si="16"/>
        <v>0</v>
      </c>
    </row>
    <row r="92" spans="1:15" x14ac:dyDescent="0.4">
      <c r="M92" s="1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BS_Q2-67</vt:lpstr>
      <vt:lpstr>Changed-Conso</vt:lpstr>
      <vt:lpstr>Changed-Com</vt:lpstr>
      <vt:lpstr>PL_Q2-67</vt:lpstr>
      <vt:lpstr>CashFlow</vt:lpstr>
      <vt:lpstr>Equity</vt:lpstr>
      <vt:lpstr>Conso_Q150</vt:lpstr>
      <vt:lpstr>CashFlow!OLE_LINK3</vt:lpstr>
      <vt:lpstr>'BS_Q2-67'!Print_Area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'PL_Q2-67'!Print_Area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2024-08-05T04:07:15Z</cp:lastPrinted>
  <dcterms:created xsi:type="dcterms:W3CDTF">2003-04-30T06:44:25Z</dcterms:created>
  <dcterms:modified xsi:type="dcterms:W3CDTF">2024-08-13T04:16:01Z</dcterms:modified>
</cp:coreProperties>
</file>